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showInkAnnotation="0" autoCompressPictures="0" defaultThemeVersion="124226"/>
  <xr:revisionPtr revIDLastSave="0" documentId="13_ncr:1_{EF2457F1-1BD1-4675-A329-1D4BEABB45FD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виконання ІС" sheetId="29" r:id="rId1"/>
    <sheet name="показники ІС" sheetId="31" r:id="rId2"/>
    <sheet name="індикатори" sheetId="33" r:id="rId3"/>
  </sheets>
  <definedNames>
    <definedName name="_xlnm._FilterDatabase" localSheetId="0" hidden="1">'виконання ІС'!$A$6:$N$86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3" i="31" l="1"/>
  <c r="K56" i="29" l="1"/>
  <c r="K12" i="29"/>
  <c r="L55" i="29"/>
  <c r="L53" i="29"/>
  <c r="L51" i="29"/>
  <c r="J65" i="29"/>
  <c r="L65" i="29"/>
  <c r="K39" i="29"/>
  <c r="L39" i="29"/>
  <c r="L32" i="29"/>
  <c r="J25" i="29"/>
  <c r="L15" i="29"/>
  <c r="L13" i="29"/>
  <c r="L12" i="29" s="1"/>
  <c r="G70" i="31"/>
  <c r="G40" i="31" l="1"/>
  <c r="G15" i="31" l="1"/>
  <c r="C182" i="31"/>
  <c r="J17" i="31"/>
  <c r="J170" i="31" l="1"/>
  <c r="J166" i="31"/>
  <c r="J165" i="31"/>
  <c r="J164" i="31"/>
  <c r="J163" i="31"/>
  <c r="J156" i="31"/>
  <c r="G154" i="31"/>
  <c r="J138" i="31"/>
  <c r="J135" i="31"/>
  <c r="J116" i="31"/>
  <c r="J111" i="31"/>
  <c r="J108" i="31"/>
  <c r="J105" i="31"/>
  <c r="J102" i="31"/>
  <c r="J67" i="31"/>
  <c r="J55" i="31" l="1"/>
  <c r="G53" i="31"/>
  <c r="G32" i="31"/>
  <c r="G28" i="31"/>
  <c r="G23" i="31"/>
  <c r="L19" i="29" l="1"/>
  <c r="K21" i="29" l="1"/>
  <c r="L21" i="29"/>
  <c r="G141" i="31" l="1"/>
  <c r="K74" i="29" l="1"/>
  <c r="L74" i="29"/>
  <c r="K50" i="29"/>
  <c r="L50" i="29"/>
  <c r="K43" i="29" l="1"/>
  <c r="L43" i="29"/>
  <c r="K34" i="29" l="1"/>
  <c r="L34" i="29"/>
  <c r="J34" i="29"/>
  <c r="G69" i="31" l="1"/>
  <c r="H129" i="31" l="1"/>
  <c r="F9" i="33" l="1"/>
  <c r="F10" i="33"/>
  <c r="F11" i="33"/>
  <c r="G74" i="29"/>
  <c r="G73" i="29" s="1"/>
  <c r="H74" i="29"/>
  <c r="H73" i="29" s="1"/>
  <c r="G64" i="29"/>
  <c r="G63" i="29" s="1"/>
  <c r="H64" i="29"/>
  <c r="H63" i="29" s="1"/>
  <c r="G56" i="29"/>
  <c r="H56" i="29"/>
  <c r="G50" i="29"/>
  <c r="H50" i="29"/>
  <c r="G43" i="29"/>
  <c r="H43" i="29"/>
  <c r="G31" i="29"/>
  <c r="G21" i="29"/>
  <c r="H21" i="29"/>
  <c r="G12" i="29"/>
  <c r="H12" i="29"/>
  <c r="G11" i="29" l="1"/>
  <c r="G42" i="29"/>
  <c r="H11" i="29"/>
  <c r="H42" i="29"/>
  <c r="G99" i="31" l="1"/>
  <c r="G63" i="31"/>
  <c r="H107" i="31" l="1"/>
  <c r="H141" i="31"/>
  <c r="H97" i="31"/>
  <c r="C15" i="33"/>
  <c r="H13" i="31"/>
  <c r="H15" i="31"/>
  <c r="H17" i="31"/>
  <c r="G19" i="31"/>
  <c r="H19" i="31" s="1"/>
  <c r="H21" i="31"/>
  <c r="H23" i="31"/>
  <c r="H27" i="31"/>
  <c r="H28" i="31"/>
  <c r="H30" i="31"/>
  <c r="H32" i="31"/>
  <c r="H34" i="31"/>
  <c r="G36" i="31"/>
  <c r="H38" i="31"/>
  <c r="H40" i="31"/>
  <c r="H44" i="31"/>
  <c r="H45" i="31"/>
  <c r="H46" i="31"/>
  <c r="H48" i="31"/>
  <c r="H49" i="31"/>
  <c r="H50" i="31"/>
  <c r="H51" i="31"/>
  <c r="H53" i="31"/>
  <c r="H55" i="31"/>
  <c r="H56" i="31"/>
  <c r="H58" i="31"/>
  <c r="H59" i="31"/>
  <c r="H61" i="31"/>
  <c r="H63" i="31"/>
  <c r="H66" i="31"/>
  <c r="H67" i="31"/>
  <c r="H69" i="31"/>
  <c r="H70" i="31"/>
  <c r="H71" i="31"/>
  <c r="H74" i="31"/>
  <c r="H76" i="31"/>
  <c r="H78" i="31"/>
  <c r="H82" i="31"/>
  <c r="H84" i="31"/>
  <c r="H86" i="31"/>
  <c r="H88" i="31"/>
  <c r="H92" i="31"/>
  <c r="F93" i="31"/>
  <c r="G93" i="31"/>
  <c r="H94" i="31"/>
  <c r="H95" i="31"/>
  <c r="H98" i="31"/>
  <c r="H99" i="31"/>
  <c r="H100" i="31"/>
  <c r="H101" i="31"/>
  <c r="H102" i="31"/>
  <c r="H103" i="31"/>
  <c r="H105" i="31"/>
  <c r="H108" i="31"/>
  <c r="H109" i="31"/>
  <c r="H111" i="31"/>
  <c r="H113" i="31"/>
  <c r="H115" i="31"/>
  <c r="H118" i="31"/>
  <c r="H119" i="31"/>
  <c r="H121" i="31"/>
  <c r="H122" i="31"/>
  <c r="H123" i="31"/>
  <c r="H124" i="31"/>
  <c r="H125" i="31"/>
  <c r="H127" i="31"/>
  <c r="H130" i="31"/>
  <c r="H131" i="31"/>
  <c r="H134" i="31"/>
  <c r="H135" i="31"/>
  <c r="H137" i="31"/>
  <c r="H138" i="31"/>
  <c r="H139" i="31"/>
  <c r="H140" i="31"/>
  <c r="F142" i="31"/>
  <c r="G142" i="31"/>
  <c r="H143" i="31"/>
  <c r="H144" i="31"/>
  <c r="H145" i="31"/>
  <c r="H146" i="31"/>
  <c r="H147" i="31"/>
  <c r="H148" i="31"/>
  <c r="H149" i="31"/>
  <c r="H150" i="31"/>
  <c r="H152" i="31"/>
  <c r="H154" i="31"/>
  <c r="H156" i="31"/>
  <c r="H158" i="31"/>
  <c r="H161" i="31"/>
  <c r="H162" i="31"/>
  <c r="H163" i="31"/>
  <c r="H164" i="31"/>
  <c r="H165" i="31"/>
  <c r="H166" i="31"/>
  <c r="H168" i="31"/>
  <c r="H170" i="31"/>
  <c r="H171" i="31"/>
  <c r="H173" i="31"/>
  <c r="H174" i="31"/>
  <c r="H175" i="31"/>
  <c r="H177" i="31"/>
  <c r="H178" i="31"/>
  <c r="H179" i="31"/>
  <c r="F12" i="29"/>
  <c r="E12" i="29" s="1"/>
  <c r="J12" i="29"/>
  <c r="J11" i="29" s="1"/>
  <c r="E13" i="29"/>
  <c r="F12" i="31" s="1"/>
  <c r="I13" i="29"/>
  <c r="G12" i="31" s="1"/>
  <c r="G14" i="31" s="1"/>
  <c r="H14" i="31" s="1"/>
  <c r="E14" i="29"/>
  <c r="F16" i="31" s="1"/>
  <c r="I14" i="29"/>
  <c r="G16" i="31" s="1"/>
  <c r="E15" i="29"/>
  <c r="F20" i="31" s="1"/>
  <c r="I15" i="29"/>
  <c r="G20" i="31" s="1"/>
  <c r="E16" i="29"/>
  <c r="F24" i="31" s="1"/>
  <c r="I16" i="29"/>
  <c r="G24" i="31" s="1"/>
  <c r="E17" i="29"/>
  <c r="F26" i="31" s="1"/>
  <c r="I17" i="29"/>
  <c r="G26" i="31" s="1"/>
  <c r="E18" i="29"/>
  <c r="F29" i="31" s="1"/>
  <c r="I18" i="29"/>
  <c r="G29" i="31" s="1"/>
  <c r="G31" i="31" s="1"/>
  <c r="H31" i="31" s="1"/>
  <c r="E19" i="29"/>
  <c r="F33" i="31" s="1"/>
  <c r="I19" i="29"/>
  <c r="G33" i="31" s="1"/>
  <c r="G35" i="31" s="1"/>
  <c r="H35" i="31" s="1"/>
  <c r="E20" i="29"/>
  <c r="F37" i="31" s="1"/>
  <c r="I20" i="29"/>
  <c r="G37" i="31" s="1"/>
  <c r="F21" i="29"/>
  <c r="E22" i="29"/>
  <c r="I22" i="29"/>
  <c r="E23" i="29"/>
  <c r="I23" i="29"/>
  <c r="E24" i="29"/>
  <c r="I24" i="29"/>
  <c r="E25" i="29"/>
  <c r="F47" i="31" s="1"/>
  <c r="J21" i="29"/>
  <c r="I25" i="29"/>
  <c r="G47" i="31" s="1"/>
  <c r="G52" i="31" s="1"/>
  <c r="F26" i="29"/>
  <c r="E26" i="29" s="1"/>
  <c r="F54" i="31" s="1"/>
  <c r="J26" i="29"/>
  <c r="K26" i="29"/>
  <c r="K11" i="29" s="1"/>
  <c r="L26" i="29"/>
  <c r="L11" i="29" s="1"/>
  <c r="E27" i="29"/>
  <c r="I27" i="29"/>
  <c r="E28" i="29"/>
  <c r="I28" i="29"/>
  <c r="E29" i="29"/>
  <c r="I29" i="29"/>
  <c r="E30" i="29"/>
  <c r="F60" i="31" s="1"/>
  <c r="I30" i="29"/>
  <c r="G60" i="31" s="1"/>
  <c r="E32" i="29"/>
  <c r="F65" i="31" s="1"/>
  <c r="E33" i="29"/>
  <c r="I33" i="29"/>
  <c r="F34" i="29"/>
  <c r="H34" i="29"/>
  <c r="E35" i="29"/>
  <c r="I35" i="29"/>
  <c r="E36" i="29"/>
  <c r="I36" i="29"/>
  <c r="E37" i="29"/>
  <c r="I37" i="29"/>
  <c r="E38" i="29"/>
  <c r="F77" i="31" s="1"/>
  <c r="I38" i="29"/>
  <c r="G77" i="31" s="1"/>
  <c r="F39" i="29"/>
  <c r="H39" i="29"/>
  <c r="J39" i="29"/>
  <c r="E40" i="29"/>
  <c r="F81" i="31" s="1"/>
  <c r="I40" i="29"/>
  <c r="G81" i="31" s="1"/>
  <c r="G83" i="31" s="1"/>
  <c r="E41" i="29"/>
  <c r="F85" i="31" s="1"/>
  <c r="I41" i="29"/>
  <c r="G85" i="31" s="1"/>
  <c r="G87" i="31" s="1"/>
  <c r="H87" i="31" s="1"/>
  <c r="F43" i="29"/>
  <c r="F90" i="31" s="1"/>
  <c r="J43" i="29"/>
  <c r="E44" i="29"/>
  <c r="I44" i="29"/>
  <c r="E45" i="29"/>
  <c r="I45" i="29"/>
  <c r="E46" i="29"/>
  <c r="I46" i="29"/>
  <c r="E47" i="29"/>
  <c r="F104" i="31" s="1"/>
  <c r="I47" i="29"/>
  <c r="E48" i="29"/>
  <c r="I48" i="29"/>
  <c r="E49" i="29"/>
  <c r="F110" i="31" s="1"/>
  <c r="I49" i="29"/>
  <c r="G110" i="31" s="1"/>
  <c r="G112" i="31" s="1"/>
  <c r="H112" i="31" s="1"/>
  <c r="F50" i="29"/>
  <c r="E50" i="29" s="1"/>
  <c r="F114" i="31" s="1"/>
  <c r="J50" i="29"/>
  <c r="E51" i="29"/>
  <c r="I51" i="29"/>
  <c r="E52" i="29"/>
  <c r="I52" i="29"/>
  <c r="E53" i="29"/>
  <c r="I53" i="29"/>
  <c r="E54" i="29"/>
  <c r="I54" i="29"/>
  <c r="E55" i="29"/>
  <c r="I55" i="29"/>
  <c r="F56" i="29"/>
  <c r="J56" i="29"/>
  <c r="L56" i="29"/>
  <c r="E57" i="29"/>
  <c r="I57" i="29"/>
  <c r="E58" i="29"/>
  <c r="I58" i="29"/>
  <c r="E59" i="29"/>
  <c r="I59" i="29"/>
  <c r="E60" i="29"/>
  <c r="I60" i="29"/>
  <c r="E61" i="29"/>
  <c r="I61" i="29"/>
  <c r="E62" i="29"/>
  <c r="F128" i="31" s="1"/>
  <c r="I62" i="29"/>
  <c r="G128" i="31" s="1"/>
  <c r="F64" i="29"/>
  <c r="J64" i="29"/>
  <c r="K64" i="29"/>
  <c r="E65" i="29"/>
  <c r="L64" i="29"/>
  <c r="E66" i="29"/>
  <c r="I66" i="29"/>
  <c r="E67" i="29"/>
  <c r="I67" i="29"/>
  <c r="F68" i="29"/>
  <c r="E68" i="29" s="1"/>
  <c r="J68" i="29"/>
  <c r="K68" i="29"/>
  <c r="L68" i="29"/>
  <c r="E69" i="29"/>
  <c r="I69" i="29"/>
  <c r="E70" i="29"/>
  <c r="I70" i="29"/>
  <c r="E71" i="29"/>
  <c r="F151" i="31" s="1"/>
  <c r="I71" i="29"/>
  <c r="E72" i="29"/>
  <c r="F155" i="31" s="1"/>
  <c r="I72" i="29"/>
  <c r="G155" i="31" s="1"/>
  <c r="G157" i="31" s="1"/>
  <c r="H157" i="31" s="1"/>
  <c r="F74" i="29"/>
  <c r="F73" i="29" s="1"/>
  <c r="J74" i="29"/>
  <c r="J73" i="29" s="1"/>
  <c r="K73" i="29"/>
  <c r="L73" i="29"/>
  <c r="E75" i="29"/>
  <c r="I75" i="29"/>
  <c r="E76" i="29"/>
  <c r="I76" i="29"/>
  <c r="E77" i="29"/>
  <c r="I77" i="29"/>
  <c r="E78" i="29"/>
  <c r="I78" i="29"/>
  <c r="E79" i="29"/>
  <c r="I79" i="29"/>
  <c r="E80" i="29"/>
  <c r="F169" i="31" s="1"/>
  <c r="I80" i="29"/>
  <c r="G169" i="31" s="1"/>
  <c r="E81" i="29"/>
  <c r="F172" i="31" s="1"/>
  <c r="I81" i="29"/>
  <c r="G172" i="31" s="1"/>
  <c r="G86" i="29"/>
  <c r="H142" i="31"/>
  <c r="G90" i="31" l="1"/>
  <c r="G96" i="31" s="1"/>
  <c r="H96" i="31" s="1"/>
  <c r="G91" i="31"/>
  <c r="G104" i="31"/>
  <c r="G106" i="31" s="1"/>
  <c r="H106" i="31" s="1"/>
  <c r="I43" i="29"/>
  <c r="G151" i="31"/>
  <c r="G153" i="31" s="1"/>
  <c r="H153" i="31" s="1"/>
  <c r="E74" i="29"/>
  <c r="F160" i="31" s="1"/>
  <c r="J63" i="29"/>
  <c r="H31" i="29"/>
  <c r="I68" i="29"/>
  <c r="K63" i="29"/>
  <c r="K31" i="29"/>
  <c r="E34" i="29"/>
  <c r="F73" i="31" s="1"/>
  <c r="H36" i="31"/>
  <c r="J31" i="29"/>
  <c r="I39" i="29"/>
  <c r="G80" i="31" s="1"/>
  <c r="F11" i="29"/>
  <c r="E39" i="29"/>
  <c r="F80" i="31" s="1"/>
  <c r="H12" i="31"/>
  <c r="E64" i="29"/>
  <c r="F133" i="31" s="1"/>
  <c r="F42" i="29"/>
  <c r="E42" i="29" s="1"/>
  <c r="I34" i="29"/>
  <c r="G73" i="31" s="1"/>
  <c r="G75" i="31" s="1"/>
  <c r="F31" i="29"/>
  <c r="I32" i="29"/>
  <c r="G65" i="31" s="1"/>
  <c r="H16" i="31"/>
  <c r="G18" i="31"/>
  <c r="H83" i="31"/>
  <c r="H81" i="31"/>
  <c r="H37" i="31"/>
  <c r="H128" i="31"/>
  <c r="E56" i="29"/>
  <c r="F120" i="31" s="1"/>
  <c r="H26" i="31"/>
  <c r="L63" i="29"/>
  <c r="E43" i="29"/>
  <c r="L31" i="29"/>
  <c r="E21" i="29"/>
  <c r="F41" i="31" s="1"/>
  <c r="J42" i="29"/>
  <c r="J86" i="29" s="1"/>
  <c r="I26" i="29"/>
  <c r="G54" i="31" s="1"/>
  <c r="H54" i="31" s="1"/>
  <c r="I12" i="29"/>
  <c r="G39" i="31"/>
  <c r="H39" i="31" s="1"/>
  <c r="H93" i="31"/>
  <c r="H169" i="31"/>
  <c r="H33" i="31"/>
  <c r="H85" i="31"/>
  <c r="H29" i="31"/>
  <c r="H172" i="31"/>
  <c r="I74" i="29"/>
  <c r="I73" i="29" s="1"/>
  <c r="K42" i="29"/>
  <c r="I50" i="29"/>
  <c r="G114" i="31" s="1"/>
  <c r="G117" i="31" s="1"/>
  <c r="H117" i="31" s="1"/>
  <c r="H110" i="31"/>
  <c r="I56" i="29"/>
  <c r="G120" i="31" s="1"/>
  <c r="G126" i="31" s="1"/>
  <c r="H126" i="31" s="1"/>
  <c r="G22" i="31"/>
  <c r="H22" i="31" s="1"/>
  <c r="H20" i="31"/>
  <c r="E73" i="29"/>
  <c r="H52" i="31"/>
  <c r="H47" i="31"/>
  <c r="H60" i="31"/>
  <c r="G62" i="31"/>
  <c r="H62" i="31" s="1"/>
  <c r="H155" i="31"/>
  <c r="H77" i="31"/>
  <c r="I21" i="29"/>
  <c r="G41" i="31" s="1"/>
  <c r="I65" i="29"/>
  <c r="I64" i="29" s="1"/>
  <c r="F63" i="29"/>
  <c r="E63" i="29" s="1"/>
  <c r="L42" i="29"/>
  <c r="H90" i="31" l="1"/>
  <c r="L86" i="29"/>
  <c r="K86" i="29"/>
  <c r="F94" i="29" s="1"/>
  <c r="I94" i="29" s="1"/>
  <c r="H104" i="31"/>
  <c r="H151" i="31"/>
  <c r="E31" i="29"/>
  <c r="H73" i="31"/>
  <c r="H80" i="31"/>
  <c r="H75" i="31"/>
  <c r="H114" i="31"/>
  <c r="I31" i="29"/>
  <c r="H86" i="29"/>
  <c r="I11" i="29"/>
  <c r="E11" i="29"/>
  <c r="E86" i="29" s="1"/>
  <c r="G57" i="31"/>
  <c r="H57" i="31" s="1"/>
  <c r="H41" i="31"/>
  <c r="H120" i="31"/>
  <c r="G160" i="31"/>
  <c r="G167" i="31" s="1"/>
  <c r="H167" i="31" s="1"/>
  <c r="I42" i="29"/>
  <c r="I63" i="29"/>
  <c r="G133" i="31"/>
  <c r="F86" i="29"/>
  <c r="G68" i="31"/>
  <c r="H68" i="31" s="1"/>
  <c r="H65" i="31"/>
  <c r="G94" i="29" l="1"/>
  <c r="D94" i="29"/>
  <c r="B94" i="29" s="1"/>
  <c r="H160" i="31"/>
  <c r="I86" i="29"/>
  <c r="H133" i="31"/>
  <c r="G136" i="31"/>
  <c r="H136" i="31" s="1"/>
  <c r="J94" i="29" l="1"/>
  <c r="H94" i="29" s="1"/>
  <c r="E94" i="29"/>
</calcChain>
</file>

<file path=xl/sharedStrings.xml><?xml version="1.0" encoding="utf-8"?>
<sst xmlns="http://schemas.openxmlformats.org/spreadsheetml/2006/main" count="1261" uniqueCount="574">
  <si>
    <t>Найменування заходу</t>
  </si>
  <si>
    <t>Виконавці</t>
  </si>
  <si>
    <t>Термін виконання</t>
  </si>
  <si>
    <t>Планові обсяги фінансування, тис. грн.</t>
  </si>
  <si>
    <t>Фактичні обсяги фінансування, тис. грн.</t>
  </si>
  <si>
    <t>Усього</t>
  </si>
  <si>
    <t>у тому числі:</t>
  </si>
  <si>
    <t>державний бюджет</t>
  </si>
  <si>
    <t xml:space="preserve">інші  джерела </t>
  </si>
  <si>
    <t>бюджет м.Києва</t>
  </si>
  <si>
    <t>Причини невиконання</t>
  </si>
  <si>
    <t>Інформація про виконання заходу</t>
  </si>
  <si>
    <t>усього</t>
  </si>
  <si>
    <t>загальний фонд</t>
  </si>
  <si>
    <t>спеціальний фонд</t>
  </si>
  <si>
    <t>ВСЬОГО ЗА ЗАВДАННЯМ:</t>
  </si>
  <si>
    <t>- запланованих</t>
  </si>
  <si>
    <t>- виконаних</t>
  </si>
  <si>
    <t>РАЗОМ ЗА ПРОГРАМОЮ:</t>
  </si>
  <si>
    <t>у тому числі кількість заходів:</t>
  </si>
  <si>
    <t>Група результативних показників</t>
  </si>
  <si>
    <t>Назва результативного показника</t>
  </si>
  <si>
    <t>Одиниця виміру</t>
  </si>
  <si>
    <t>план</t>
  </si>
  <si>
    <t xml:space="preserve">факт </t>
  </si>
  <si>
    <t>Відхилення фактичного значення від планового ("+" або "-")</t>
  </si>
  <si>
    <t>Значення показника</t>
  </si>
  <si>
    <t>Назва заходу</t>
  </si>
  <si>
    <t>Значення індикатора програми</t>
  </si>
  <si>
    <t>Причина недосягнення індикаторів програми</t>
  </si>
  <si>
    <t xml:space="preserve"> Звіт  про виконання результативних показників </t>
  </si>
  <si>
    <t>Звіт про досягнення індикарорів програми</t>
  </si>
  <si>
    <t xml:space="preserve">І. Оперативна ціль Стратегії розвитку міста Києва: </t>
  </si>
  <si>
    <t xml:space="preserve">Завдання програми: </t>
  </si>
  <si>
    <t>Кількість досягнутих індикаторів програми</t>
  </si>
  <si>
    <t>Відсоток досягнутих індикаторів програми</t>
  </si>
  <si>
    <t>Кількість недосягнутих індикаторів програми</t>
  </si>
  <si>
    <t>2.   Найменування виконавця</t>
  </si>
  <si>
    <t xml:space="preserve">Завдання: </t>
  </si>
  <si>
    <t>3. Аналіз виконання програми за видатками в цілому</t>
  </si>
  <si>
    <t>Проведені видатки за звітний період</t>
  </si>
  <si>
    <t>Відхилення</t>
  </si>
  <si>
    <t>1.</t>
  </si>
  <si>
    <t>Запобігання поширення ВІЛ серед ключових груп населення</t>
  </si>
  <si>
    <t>1.1.</t>
  </si>
  <si>
    <t>Забезпечити групи підвищеного ризику щодо інфікування ВІЛ (далі – ГПР) комплексним пакетом послуг з метою запобігання нових випадків інфікування у т.ч. за стратегією «зменшення шкоди», зокрема:</t>
  </si>
  <si>
    <t>1.1.1.людей, які вживають ін'єкційні наркотики (далі - ЛВІН)</t>
  </si>
  <si>
    <t>НУО</t>
  </si>
  <si>
    <t>2017-2021</t>
  </si>
  <si>
    <t>1.1.2.чоловіків, які мають сексуальні стосунки із чоловіками (далі - ЧСЧ)</t>
  </si>
  <si>
    <t>1.1.3.робітників комерційного сексу (далі - РКС)</t>
  </si>
  <si>
    <t>1.2.</t>
  </si>
  <si>
    <t>Забезпечити створення та розповсюдження інформаційних матеріалів (соціальної реклами), спрямованої на запобігання поширення ВІЛ серед ГПР</t>
  </si>
  <si>
    <t xml:space="preserve">НУО </t>
  </si>
  <si>
    <t>1.3.</t>
  </si>
  <si>
    <t>Реалізація нової моделі профілактичної роботи з метою виходу на важкодоступні ГПР щодо інфікування ВІЛ</t>
  </si>
  <si>
    <t>2017-2020</t>
  </si>
  <si>
    <t>1.4.</t>
  </si>
  <si>
    <t>Забезпечити функціонування мобільних амбулаторій для посилення ефективності профілактичної роботи громадських організацій</t>
  </si>
  <si>
    <t>1.5.</t>
  </si>
  <si>
    <t>Здійснити пілотування (2017 р.) та впровадження (2018-2021 рр.) преконтактної профілактики (РгЕР) антиретровірусними препаратами серед ЧСЧ</t>
  </si>
  <si>
    <t>Департамент охорони здоров’я виконавчого органу Київської міської ради (Київської міської державної адміністрації) (далі - Департамент охорони здоров'я), НУО</t>
  </si>
  <si>
    <t>1.6.</t>
  </si>
  <si>
    <t>Забезпечити ефективну систему виявлення ВІЛ-інфекції серед статевих партнерів ЛЖВ та взяття під медичне спостереження у випадку виявлення ВІЛ-інфекції</t>
  </si>
  <si>
    <t>1.7.</t>
  </si>
  <si>
    <t>Забезпечити стійкість програми замісної підтримувальної терапії (ЗПТ) для людей, які вживають ін'єкційні наркотики (ЛВІН), за принципом інтегрованої медичної допомоги:</t>
  </si>
  <si>
    <t>Департамент охорони здоров’я,  управління охорони здоров’я районних в місті Києві державних адміністрацій (далі - УОЗ)</t>
  </si>
  <si>
    <t>2017-2018</t>
  </si>
  <si>
    <t>1.7.1. Проведення ремонту приміщень з метою розширення мережі кабінетів ЗПТ на базі закладів охорони здоров’я у Подільському та Святошинському районах (2017 рік), Дарницькому, Деснянському, Дніпровському та Шевченківському районах (2018 рік)</t>
  </si>
  <si>
    <t xml:space="preserve">ТОВ «Делойт Консалтінг Оверсіз Проджектс» (USAID) </t>
  </si>
  <si>
    <t>1.7.2. Оснащення кабінетів ЗПТ на базі закладів охорони здоров’я ПМСД у Святошинському, Солом’янському та Шевченківському, Подільському, Дарницькому, Деснянському, Дніпровському, Печерському та Шевченківському районах (2018 рік)</t>
  </si>
  <si>
    <t>1.7.3. Реалізація ЗПТ на базі закладів охорони здоров’я, які надають первинну медико-санітарну допомогу</t>
  </si>
  <si>
    <t xml:space="preserve">Департамент охорони здоров’я, районні управління охорони здоров’я, ТОВ «Делойт Консалтінг Оверсіз Проджектс» (USAID) </t>
  </si>
  <si>
    <t>1.7.4. Забезпечення препаратами ЗПТ</t>
  </si>
  <si>
    <t>Департамент охорони здоров’я</t>
  </si>
  <si>
    <t>1.8.</t>
  </si>
  <si>
    <t>Забезпечити реалізацію заходів, спрямованих на досягнення елімінації передачі ВІЛ від матері до дитини</t>
  </si>
  <si>
    <t xml:space="preserve">1.8.1. Охоплення вагітних жінок обстеженням на ВІЛ-інфекцію </t>
  </si>
  <si>
    <t>1.8.2. Забезпечення адаптованими молочними сумішами для дітей першого року життя, народжених ВІЛ-інфікованими матерями</t>
  </si>
  <si>
    <t>1.8.3.Забезпечення антиретровірусними препаратами для профілактики передачі ВІЛ-інфекції від матері до дитини</t>
  </si>
  <si>
    <t>1.9.</t>
  </si>
  <si>
    <t>Розвиток людських ресурсів: Забезпечити навчання соціальних працівників та волонтерів НУО, психологів, інших співробітників, які залучені до надання комплексних профілактичних послуг ГПР щодо інфікування ВІЛ</t>
  </si>
  <si>
    <t xml:space="preserve">НУО, Київський міський центр соціальних служб для сім’ї, дітей і молоді </t>
  </si>
  <si>
    <t>2</t>
  </si>
  <si>
    <t>Охоплення населення послугами з тестування на ВІЛ (ПТВ), насамперед представників ГПР щодо інфікування ВІЛ</t>
  </si>
  <si>
    <t>2.1.</t>
  </si>
  <si>
    <t xml:space="preserve">Забезпечити доступне та ефективне тестування населення на ВІЛ у ЗОЗ та кабінетах Довіри за принципом "тестуй та реєструй" </t>
  </si>
  <si>
    <t xml:space="preserve">Департамент охорони здоров’я,  НУО </t>
  </si>
  <si>
    <t>2.2.</t>
  </si>
  <si>
    <t>Проведення міського дня тестування  на ВІЛ-інфекцію (щомісяця) в закладах охорони здоров'я, що засновані на комунальній власності територіальної громади міста Києва</t>
  </si>
  <si>
    <t>2.3.</t>
  </si>
  <si>
    <t xml:space="preserve">Забезпечити високий рівень результативності профілактичної роботи громадських організацій в частині виявлення ВІЛ серед осіб, що належать до ГПР </t>
  </si>
  <si>
    <t xml:space="preserve">Департамент охорони здоров’я, УОЗ, НУО </t>
  </si>
  <si>
    <t xml:space="preserve">2.3.1. Тестування на ВІЛ-інфекцію із застосуванням двох швидких тестів та оптимізації аутріч-маршрутів, маршрутів мобільних амбулаторій 
</t>
  </si>
  <si>
    <t>2.3.2. Забезпечення участі медичних працівників у ПТВ на базі громадських центрів та мобільних амбулаторій неурядових організацій</t>
  </si>
  <si>
    <t xml:space="preserve">2.3.3. Залучення до тестування на ВІЛ, зокрема ЧСЧ, через мережу Інтернет 
</t>
  </si>
  <si>
    <t>2.4.</t>
  </si>
  <si>
    <t xml:space="preserve">Проведення якості досліджень з використанням швидких тестів 
</t>
  </si>
  <si>
    <t>2.5.</t>
  </si>
  <si>
    <t xml:space="preserve">Забезпечити навчання медичних працівників навичкам ПТВ, для проведення скринінгу населення на ВІЛ на базі: 
</t>
  </si>
  <si>
    <t xml:space="preserve">2.5.1. закладів охорони здоров’я ПМСД 
</t>
  </si>
  <si>
    <t xml:space="preserve">Департамент охорони здоров’я </t>
  </si>
  <si>
    <t xml:space="preserve">2.5.2. закладів охорони здоров’я вторинного рівня 
</t>
  </si>
  <si>
    <t xml:space="preserve">Департамент охорони здоров’я, УОЗ </t>
  </si>
  <si>
    <t xml:space="preserve">3. </t>
  </si>
  <si>
    <t>Залучення до системи медичного нагляду людей, які живуть з ВІЛ  (ЛЖВ)</t>
  </si>
  <si>
    <t>3.1.</t>
  </si>
  <si>
    <t>Запровадити ефективну систему залучення до системи медичного нагляду осіб, у разі виявлення у них ВІЛ-інфекції при зверненні за медичною допомогою та при тестування на базі громадських організацій</t>
  </si>
  <si>
    <t>3.1.1.Проведення підтверджуючих досліджень у разі отримання позитивного результату тестування на ВІЛ</t>
  </si>
  <si>
    <t>3.1.2.Охоплення медичним спостереженням осіб, яким встановлено діагноз ВІЛ/СНІД під час перебування на стаціонарному лікуванні у ЗОЗ</t>
  </si>
  <si>
    <t>3.1.3.Здійснення медичного наглядуЛЖВ лікарем інфекціоністом за місцем проживання</t>
  </si>
  <si>
    <t>3.1.4. Забезпечення супроводу соціальними працівниками НУО представників груп підвищеного ризику щодо інфікування ВІЛ (у разі виявлення у них ВІЛ-інфекції) до закладів охорони здоров’я, які надають медичну допомогу у зв’язку із ВІЛ-інфекцією</t>
  </si>
  <si>
    <t>Департамент охорони здоров’я, УОЗ, НУО</t>
  </si>
  <si>
    <t>3.1.5.Скорочення термінів взяття ЛЖВ під медичний нагляд у разі виявлення ВІЛ-інфекції</t>
  </si>
  <si>
    <t>3.2.</t>
  </si>
  <si>
    <t>Забезпечити діагностику опортуністичних інфекцій у ЛЖВ при взятті під медичний нагляд</t>
  </si>
  <si>
    <t>3.3.</t>
  </si>
  <si>
    <t xml:space="preserve">Забезпечити клініко-лабораторне обстеження ЛЖВ при взятті під медичний нагляд у зв’язку із ВІЛ-інфекцією у Київському міському центрі профілактики та боротьби зі СНІДом у тому числі: 
</t>
  </si>
  <si>
    <t>3.3.1. діагностика вірусних гепатитів В і C</t>
  </si>
  <si>
    <t xml:space="preserve">3.3.2. діагностика сифілісу </t>
  </si>
  <si>
    <t>3.3.3. гематологічні та біохімічні дослідження</t>
  </si>
  <si>
    <t>3.3.4. імунологічні дослідження на визначення CD4</t>
  </si>
  <si>
    <t>3.3.5. забезпечення вакуумними системами для забору крові (вакутайнери)</t>
  </si>
  <si>
    <t>3.4.</t>
  </si>
  <si>
    <t>Забезпечити профілактику та лікування опортуністичних інфекцій у ЛЖВ</t>
  </si>
  <si>
    <t xml:space="preserve">3.4.1. профілактика туберкульозу 
</t>
  </si>
  <si>
    <t>3.4.2. профілактика пневмоцистної пневмонії</t>
  </si>
  <si>
    <t>3.4.3. профілактика криптококозу</t>
  </si>
  <si>
    <t>3.4.4. профілактика атипових мікобактеріозів</t>
  </si>
  <si>
    <t>3.4.5. лікування опортуністичних інфекцій</t>
  </si>
  <si>
    <t>3.5.</t>
  </si>
  <si>
    <t>Забезпечити навчання та підвищення кваліфікації лікарів-інфекціоністів закладів охорони здоров’я вторинного рівня надання медичної допомоги з питань діагностики та лікування ВІЛ-інфекції/СНІДу</t>
  </si>
  <si>
    <t>4</t>
  </si>
  <si>
    <t>Охоплення людей, які живуть з ВІЛ, антиретровірусною терапією</t>
  </si>
  <si>
    <t>4.1.</t>
  </si>
  <si>
    <t xml:space="preserve">Прискорити розширення доступу ЛЖВ до антиретровірусної терапії (АРТ) 
</t>
  </si>
  <si>
    <t xml:space="preserve">4.1.1. Продовження та залучення до АРТ пацієнтів, які перебувають під медичним наглядом в Київському міському центрі профілактики та боротьби зі СНІДом  
</t>
  </si>
  <si>
    <t xml:space="preserve">4.1.2. Призначення АРТ (базових схем І ряду) лікарями-інфекціоністами за місцем проживання пацієнта 
</t>
  </si>
  <si>
    <t xml:space="preserve">4.1.3. Видача антиретровірусних препаратів за місцем проживання пацієнта 
</t>
  </si>
  <si>
    <t xml:space="preserve">4.2. </t>
  </si>
  <si>
    <t xml:space="preserve">Покращення матеріально-технічної бази кабінетів інфекційних захворювань (КіЗ) </t>
  </si>
  <si>
    <t>4.2.1. Проведення ремонтних робіт</t>
  </si>
  <si>
    <t>4.2.2. Модернізація робочого місця лікаря (ПК, принтер, ліцензоване програмне забезпечення)</t>
  </si>
  <si>
    <t>4.3.</t>
  </si>
  <si>
    <t xml:space="preserve">Оптимізувати процес видачі антиретровірусних препаратів (далі - АРВП) шляхом запровадження рецептурної безкоштовної видачі ЛЖВ антиретровірусних препаратів через аптечну мережу (2017 р. - пілотний проект)  
</t>
  </si>
  <si>
    <t>4.4.</t>
  </si>
  <si>
    <t xml:space="preserve">Забезпечити соціальний супровід ЛЖВ (насамперед представників груп підвищеного ризику щодо інфікування ВІЛ) силами НУО та Київського міського центру соціальних служб для дітей, сім’ї і молоді для отримання АРТ 
</t>
  </si>
  <si>
    <t xml:space="preserve">Департамент охорони здоров’я, Київський міський центр соціальних служб для сім’ї, дітей і молоді </t>
  </si>
  <si>
    <t>5.</t>
  </si>
  <si>
    <t>Досягнення високої ефективності лікування у людей, які живуть з ВІЛ та отримують антиретровірусну терапію (АРТ)</t>
  </si>
  <si>
    <t>5.1.</t>
  </si>
  <si>
    <t xml:space="preserve">Забезпечити клініко-лабораторний моніторинг та оцінку ефективності АРТ (згідно клінічного протоколу) 
</t>
  </si>
  <si>
    <t xml:space="preserve">5.1.1. Визначення рівня вірусного навантаження (ВН) 
</t>
  </si>
  <si>
    <t xml:space="preserve">5.1.2. Визначення рівня CD4 
</t>
  </si>
  <si>
    <t>5.1.3. Гематологічні дослідження</t>
  </si>
  <si>
    <t xml:space="preserve">5.1.4. Біохімічні дослідження крові 
</t>
  </si>
  <si>
    <t xml:space="preserve">5.1.5. Діагностика опортуністичних інфекцій при прогресуючій ВІЛ-інфекції 
</t>
  </si>
  <si>
    <t>5.2.</t>
  </si>
  <si>
    <t xml:space="preserve">Здійснювати соціальний супровід  ЛЖВ,  груп підвищеного ризику 
</t>
  </si>
  <si>
    <t xml:space="preserve">Київський  міський центр соціальних служб для дітей, сім’ї і молоді, НУО 
</t>
  </si>
  <si>
    <t>5.3.</t>
  </si>
  <si>
    <t xml:space="preserve">Розвиток людських ресурсів: Забезпечити підвищення кваліфікації медичних працівників, залучених до надання медичної допомоги ЛЖВ, шляхом стажування у провідних практиках міжнародних партнерів 
</t>
  </si>
  <si>
    <t xml:space="preserve"> тис. грн.</t>
  </si>
  <si>
    <t>%</t>
  </si>
  <si>
    <t>кіл-ть</t>
  </si>
  <si>
    <t>робітників комерційного сексу (далі - РКС)</t>
  </si>
  <si>
    <t>чоловіків, які мають сексуальні стосунки із чоловіками (далі - ЧСЧ);</t>
  </si>
  <si>
    <t xml:space="preserve"> людей, які вживають ін'єкційні наркотики (далі - ЛВІН);</t>
  </si>
  <si>
    <t>Впроваджувати нові моделі профілактичної роботи з метою виходу на важкодоступні ГПР щодо інфікування ВІЛ</t>
  </si>
  <si>
    <t>1.4</t>
  </si>
  <si>
    <t>Здійснити пілотування та впровадження преконтактної профілактики (РгЕР) антиретровірусними препаратами серед ЧСЧ:</t>
  </si>
  <si>
    <t>забезпечення препаратами ЗПТ</t>
  </si>
  <si>
    <t>Забезпечити стійкість програми замісної підтримувальної терапії (ЗПТ) для людей, які вживають ін'єкційні наркотики (ЛВІН), за принципом інтегрованої медичної допомоги</t>
  </si>
  <si>
    <t xml:space="preserve">охоплення вагітних жінок обстеженням на ВІЛ-інфекцію </t>
  </si>
  <si>
    <t>забезпечення адаптованими молочними сумішами для дітей першого року життя, народжених ВІЛ-інфікованими матерями</t>
  </si>
  <si>
    <t>забезпечення антиретровірусними препаратами для профілактики передачі ВІЛ-інфекції від матері до дитини</t>
  </si>
  <si>
    <t>тис.грн</t>
  </si>
  <si>
    <t>1.9</t>
  </si>
  <si>
    <t xml:space="preserve"> Проведення міського дня тестування  на ВІЛ-інфекцію (щомісяця) в закладах охорони здоров'я, що засновані на комунальній власності територіальної громади міста Києва</t>
  </si>
  <si>
    <t>Проведення якості досліджень з використанням швидких тестів</t>
  </si>
  <si>
    <t>Забезпечити навчання медичних працівників навичкам ПТВ, для проведення скринінгу населення на ВІЛ на базі:</t>
  </si>
  <si>
    <t>закладів охорони здоров’я ПМСД</t>
  </si>
  <si>
    <t>закладів охорони здоров’я вторинного рівня</t>
  </si>
  <si>
    <t>3</t>
  </si>
  <si>
    <t xml:space="preserve">Залучення до системи медичного нагляду людей, які живуть з ВІЛ  </t>
  </si>
  <si>
    <t>3.1</t>
  </si>
  <si>
    <t>Проведення підтверджуючих досліджень у разі отримання позитивного результату тестування на ВІЛ</t>
  </si>
  <si>
    <t>Охоплення медичним спостереженням осіб, яким встановлено діагноз ВІЛ/СНІД під час перебування на стаціонарному лікуванні у ЗОЗ</t>
  </si>
  <si>
    <t>Здійснення медичного нагляду ЛЖВ лікарем інфекціоністом за місцем проживання</t>
  </si>
  <si>
    <t>Забезпечення супроводу соціальними працівниками НУО представників груп підвищеного ризику щодо інфікування ВІЛ (у разі виявлення у них ВІЛ-інфекції) до закладів охорони здоров’я, які надають медичну допомогу у зв’язку із ВІЛ-інфекцією</t>
  </si>
  <si>
    <t>Скорочення термінів взяття ЛЖВ під медичний нагляд у разі виявлення ВІЛ-інфекції</t>
  </si>
  <si>
    <t>Забезпечити клініко-лабораторне обстеження ЛЖВ при взятті під медичний нагляд у зв’язку із ВІЛ-інфекцією у Київському міському центрі профілактики та боротьби зі СНІДом у тому числі:</t>
  </si>
  <si>
    <t xml:space="preserve"> Забезпечити профілактику та лікування опортуністичних інфекцій у ЛЖВ, з них:</t>
  </si>
  <si>
    <t>профілактика туберкульозу</t>
  </si>
  <si>
    <t>профілактика пневмоцистної пневмонії</t>
  </si>
  <si>
    <t>профілактика криптококозу</t>
  </si>
  <si>
    <t>профілактика атипових мікобактеріозів</t>
  </si>
  <si>
    <t>лікування опортуністичних інфекцій</t>
  </si>
  <si>
    <t>4.1</t>
  </si>
  <si>
    <t xml:space="preserve"> Прискорити розширення доступу ЛЖВ до антиретровірусної терапії (АРТ)</t>
  </si>
  <si>
    <t xml:space="preserve">Продовження та залучення до АРТ пацієнтів, які перебувають під медичним наглядом в Київському міському центрі профілактики та боротьби зі СНІДом </t>
  </si>
  <si>
    <t>Призначення АРТ (базових схем І ряду) лікарями-інфекціоністами за місцем проживання пацієнта</t>
  </si>
  <si>
    <t>Видача антиретровірусних препаратів за місцем проживання пацієнта</t>
  </si>
  <si>
    <t>4.2.</t>
  </si>
  <si>
    <t>Проведення ремонтних робіт</t>
  </si>
  <si>
    <t>Модернізація робочого місця лікаря (ПК, принтер, ліцензоване програмне забезпечення)</t>
  </si>
  <si>
    <t xml:space="preserve"> Оптимізувати процес видачі антиретровірусних препаратів (далі - АРВП) шляхом запровадження рецептурної безкоштовної видачі ЛЖВ антиретровірусних препаратів через аптечну мережу (2017 р. - пілотний проект) </t>
  </si>
  <si>
    <t>Забезпечити соціальний супровід ЛЖВ (насамперед представників груп підвищеного ризику щодо інфікування ВІЛ) силами НУО та Київського міського центру соціальних служб для дітей, сім’ї і молоді для отримання АРТ</t>
  </si>
  <si>
    <t>Досягнення високої ефективності лікування у людей, які живуть з ВІЛ та отримують антиретровірусну терапію</t>
  </si>
  <si>
    <t>Забезпечити клініко-лабораторний моніторинг та оцінку ефективності АРТ (згідно клінічного протоколу)</t>
  </si>
  <si>
    <t>Визначення рівня вірусного навантаження (ВН)</t>
  </si>
  <si>
    <t>Визначення рівня CD4</t>
  </si>
  <si>
    <t>Гематологічні дослідження</t>
  </si>
  <si>
    <t>Біохімічні дослідження крові</t>
  </si>
  <si>
    <t>Діагностика опортуністичних інфекцій при прогресуючій ВІЛ-інфекції</t>
  </si>
  <si>
    <t>5.2</t>
  </si>
  <si>
    <t xml:space="preserve"> Здійснювати соціальний супровід  ЛЖВ,  груп підвищеного ризику</t>
  </si>
  <si>
    <t>Розвиток людських ресурсів: Забезпечити підвищення кваліфікації медичних працівників, залучених до надання медичної допомоги ЛЖВ, шляхом стажування у провідних практиках міжнародних партнерів</t>
  </si>
  <si>
    <t>6.</t>
  </si>
  <si>
    <t xml:space="preserve">Реалізаціяв Програми за стратегією Fast-Track Cities у місті Києві </t>
  </si>
  <si>
    <t xml:space="preserve"> Інформація  про виконання Міської цільової програми протидії епідемії ВІЛ-інфекції на 2017−2021 роки </t>
  </si>
  <si>
    <t>1. Міська цільова програма протидії епідемії ВІЛ-інфекції на 2017−2021 роки рішення КМР  від  08 грудня 2016 року  № 538/1542</t>
  </si>
  <si>
    <t xml:space="preserve">Міської цільової програми протидії епідемії ВІЛ-інфекції на 2017−2021 роки </t>
  </si>
  <si>
    <t>Міської цільової програми Міської цільової програми протидії епідемії ВІЛ-інфекції на 2017-2021 роки</t>
  </si>
  <si>
    <t xml:space="preserve">Частка людей, які живуть з ВІЛ (від оціночної чисельності), які знають свій ВІЛ-статус
</t>
  </si>
  <si>
    <t>Частка людей, які знають свій позитивний ВІЛ-статус, отримують лікування</t>
  </si>
  <si>
    <t xml:space="preserve">Частка людей, які живуть з ВІЛ і отримують лікування, мають пригнічене вірусне навантаження
</t>
  </si>
  <si>
    <t>кількість ЛВІН, які отримали послуги з профілактики ВІЛ</t>
  </si>
  <si>
    <t>вартість комплексного пакету послуг на одного представника групи ЛВІН на рік</t>
  </si>
  <si>
    <t xml:space="preserve">динаміка частки ЛВІН, які охоплені послугами з профілактики ВІЛ відносно базового показника – 50% від оціночної чисельності </t>
  </si>
  <si>
    <t>кількість ЧСЧ, які отримали послуги з профілактики ВІЛ</t>
  </si>
  <si>
    <t>вартість комплексного пакету послуг на одного представника групи ЧСЧ на рік</t>
  </si>
  <si>
    <t xml:space="preserve">Показник якості: </t>
  </si>
  <si>
    <t>динаміка частки ЧСЧ, які охоплені послугами з профілактики ВІЛ відносно базового показника – 58% від оціночної чисельності</t>
  </si>
  <si>
    <t>Показник якості</t>
  </si>
  <si>
    <t>Показник ефективності</t>
  </si>
  <si>
    <t>кількість РКС, які отримали послуги з профілактики ВІЛ</t>
  </si>
  <si>
    <t>вартість комплексного пакету послуг на одного представника групи РКС на рік</t>
  </si>
  <si>
    <t xml:space="preserve">динаміка частки РКС, які охоплені послугами з профілактики ВІЛ відносно базового показника – 56% від оціночної чисельності </t>
  </si>
  <si>
    <t xml:space="preserve"> відсоток охоплення ГПР інформаційними матеріалами з питань запобігання інфікування ВІЛ </t>
  </si>
  <si>
    <t>розробка та впровадження нових заходів направлених на досяжність важкодоступних ГПР, маршрут пацієнта, тощо</t>
  </si>
  <si>
    <t xml:space="preserve">збільшення частки осіб з числа ГПР, які охоплені профілактичними послугами з питань ВІЛ </t>
  </si>
  <si>
    <t>забезпечення функціонування мобільних амбулаторій, автомобіль</t>
  </si>
  <si>
    <t>вартість забезпечення діяльності 1 мобільної амбулаторії на рік</t>
  </si>
  <si>
    <t>відсоток представників ГПР, які мають доступ до послуг мобільної амбулаторії відносно базового 35%</t>
  </si>
  <si>
    <t>Витрат</t>
  </si>
  <si>
    <t>Продукту</t>
  </si>
  <si>
    <t>Якості</t>
  </si>
  <si>
    <t>Витрати</t>
  </si>
  <si>
    <t xml:space="preserve">кількість ЧСЧ, які отримали преконтактну профілактику </t>
  </si>
  <si>
    <t>витрати на проведення 1 курсу преконтактної профілактики</t>
  </si>
  <si>
    <t>динаміка зміни частки ЧСЧ, які отримують  преконтактну профілактику  інфікування ВІЛ від оціночної чисельності ЧСЧ, порівняно з базовим рівнем – 0%</t>
  </si>
  <si>
    <t>кількість статевих партнерів ЛЖВ, яких було взято під медичне  спостереження</t>
  </si>
  <si>
    <t>середній обсяг витрат на забезпечення залучення 1 статевого партнера ЛЖВ до медичного спостереження</t>
  </si>
  <si>
    <t xml:space="preserve">динаміка зміни частки статевих партнерів ЛЖВ, яких взято під медичне спостереження у разі виявлення ВІЛ серед осіб зазначеної категорії, %. Базовий показник – 20% </t>
  </si>
  <si>
    <t>кількість оснащених кабінетів ЗПТ на базі закладів охорони здоров’я ПМСД</t>
  </si>
  <si>
    <t>середнія вартість оснащення кабінету ЗПТ</t>
  </si>
  <si>
    <t>динаміка кількості районів, де запроваджено ЗПТ на базі закладів охорони здоров’я ПМСД. Базовий рівень – 0</t>
  </si>
  <si>
    <t>кількість ЛВІН, які отримують ЗПТ, всього осіб, з них:</t>
  </si>
  <si>
    <t>кількість ЛВІН, які отримують ЗПТ за кошти Державного бюджету</t>
  </si>
  <si>
    <t>кількість ЛВІН, які отримують ЗПТ за інші кошти</t>
  </si>
  <si>
    <t>кількість ЛВІН, які отримують ЗПТ за кошти бюджету міста Києва</t>
  </si>
  <si>
    <t>середні витрати на забезпечення ЗПТ на 1 хворого на рік</t>
  </si>
  <si>
    <t>динаміка зміни частки ЛВІН, які охоплені ЗПТ від кількост осіб, які перебувають під диспансерним наглядом унаслідок вживання опіоїдів, відносно базового показника 2016 року –16,9%</t>
  </si>
  <si>
    <t>вартість вигодування 1 дитини, народженої від ВІЛ-інфікованої жінки на рік, тис. грн.</t>
  </si>
  <si>
    <t>кількість дітей першого року життя, народжених ВІЛ-інфікованими матерями, які забезпечені  адаптованими молочними сумішами, осіб</t>
  </si>
  <si>
    <t>кількість дітей, які народжені від ВІЛ-інфікованих жінок, які  забезпечені антиретровірусними препаратами для профілактики передачі ВІЛ-інфекції від матері до дитини</t>
  </si>
  <si>
    <t>зменшення рівня передачі ВІЛ-інфекції від матері до дитини. Базове значення показника – 4,6% (2014 р.)</t>
  </si>
  <si>
    <t>кількість людей, які обстежені на ВІЛ-інфекцію</t>
  </si>
  <si>
    <t xml:space="preserve">кількість виявлених випадків ВІЛ-інфекції  </t>
  </si>
  <si>
    <t>середня вартість виявлення 1 ЛЖВ у ЗОЗ</t>
  </si>
  <si>
    <t>відсоток позитивних результатів тестування на ВІЛ-інфекції, %</t>
  </si>
  <si>
    <t>динаміка частки ЛЖВ, які знають свій ВІЛ-статус від оціночної чисельності ЛЖВ, відносно базового рівня - 47%</t>
  </si>
  <si>
    <t>проведення міського дня тестування  на ВІЛ-інфекцію на рік, одиниць</t>
  </si>
  <si>
    <t>динаміка кількості людей, які обстежені під час проведення міського дня  тестування  на ВІЛ-інфекцію (базовий показник – 0), осіб</t>
  </si>
  <si>
    <t>кількість осіб з числа ГПР, у яких було діагностовано ВІЛ на базі НУО</t>
  </si>
  <si>
    <t xml:space="preserve"> вартість виявлення 1 ЛЖВ з числа ГПР на базі НУО</t>
  </si>
  <si>
    <t>результативність (або відсоток позитивних результатів) тестування ГПР на ВІЛ-інфекцію, %</t>
  </si>
  <si>
    <t>кількість лікарів закладів охорони здоров’я ПМСД, які впродовж року пройшли навчання з питань застосування у практиці навичок з ПТВ</t>
  </si>
  <si>
    <t>середні витрати на навчання 1 лікаря, тис. грн</t>
  </si>
  <si>
    <t>динаміка кількості закладів охорони здоров’я ПМСД, які здійснюють скринінг населення на ВІЛ, %</t>
  </si>
  <si>
    <t>кількість лікарів закладів охорони здоров’я вторинного та третинного рівня, які впродовж року пройшли навчання з питань застосування у практиці навичок з ПТВ</t>
  </si>
  <si>
    <t>середні витрати на навчання 1 лікаря</t>
  </si>
  <si>
    <t>динаміка кількості закладів охорони здоров’я вторинного та третинного рівня, які здійснюють скринінг населення на ВІЛ, %</t>
  </si>
  <si>
    <t xml:space="preserve"> кількість осіб, якім проведено лабораторне підтвердження ВІЛ-інфекції (за кошти Державного бюджету), осіб </t>
  </si>
  <si>
    <t xml:space="preserve">кількість осіб, якім проведено лабораторне підтвердження ВІЛ-інфекції за кошти бюджету м. Києва, осіб </t>
  </si>
  <si>
    <t>кількість зареєстрованих нових випадків ВІЛ-інфекції</t>
  </si>
  <si>
    <t>середні витрати на реєстрацію 1 випадку ВІЛ-інфекції</t>
  </si>
  <si>
    <t xml:space="preserve"> динаміка показника охоплення ЛЖВ від кількості виявлених осіб, %</t>
  </si>
  <si>
    <t xml:space="preserve">загальна чисельність ЛЖВ, які знають свій статус </t>
  </si>
  <si>
    <t xml:space="preserve">динаміка частки ЛЖВ,  які знають свій ВІЛ-статус (від оціночної чисельності ЛЖВ), відносно базового рівня - 47% </t>
  </si>
  <si>
    <t xml:space="preserve">кількість осіб, у яких діагностовано ВІЛ-інфекцію під час перебування на стаціонарному лікуванні </t>
  </si>
  <si>
    <t>динаміка частки  ЛЖВ, яких було взято на диспансерний облік з приводу ВІЛ-інфекції з числа вперше діагностованих у ЗОЗ. Базовий показник – 18%.</t>
  </si>
  <si>
    <t>кількість ЛЖВ  з вперше встановленим діагнозом, які взяті під медичне спостереження лікарем-інфекціоністом за місцем проживання</t>
  </si>
  <si>
    <t>3.1.2</t>
  </si>
  <si>
    <t>3.1.1</t>
  </si>
  <si>
    <t>3.1.3</t>
  </si>
  <si>
    <t>динаміка частки осіб, які спостерігаються з приводу ВІЛ-інфекції за місцем проживання (на базі КІЗ) від кількості ЛЖВ, зареєстрованих на даній адміністративно-територіальній одинці. Базовий показник – 0%</t>
  </si>
  <si>
    <t>3.1.4</t>
  </si>
  <si>
    <t>3.1.5.</t>
  </si>
  <si>
    <t>кількість ЛЖВ з числа ГПР, які звернулися за направленням НУО для отриманням допомоги</t>
  </si>
  <si>
    <t xml:space="preserve">вартість витрат на супровід ЛЖВ до закладу медичного здоров’я  </t>
  </si>
  <si>
    <t>динаміка частки ЛЖВ, які звернулися до закладу за направленням НУО. Базовий показник 60%.</t>
  </si>
  <si>
    <t>кількість ЛЖВ, яких було взято під медичний нагляд у день первинного звернення з приводу діагностованої ВІЛ-інфекції</t>
  </si>
  <si>
    <t>динаміка частки ЛЖВ, яких було взято під медичний нагляд впродовж 1 дня Базовий показник – 5%</t>
  </si>
  <si>
    <t xml:space="preserve">кількість ЛЖВ, які обстежені на опортуністичні інфекції при взятті під медичний нагляд </t>
  </si>
  <si>
    <t xml:space="preserve">середня вартість лабораторного обстеження на опортуністичні інфекції 1 первинного пацієнта </t>
  </si>
  <si>
    <t xml:space="preserve">динаміка частки ЛЖВ, які  обстежені на опортуністичні інфекції від числа взятих під медичний нагляд. Базовий рівень показника – 30% </t>
  </si>
  <si>
    <t xml:space="preserve"> кількість ЛЖВ, які охоплені клініко-лабораторним обстеженням </t>
  </si>
  <si>
    <t>середня вартість клініко-лабораторного  обстеження 1 ЛЖВ при взятті під медичний нагляд</t>
  </si>
  <si>
    <t>динаміка охоплення клініко-лабораторним обстеженням ЛЖВ при взятті під медичний нагляд. Базовий рівень показника 80%</t>
  </si>
  <si>
    <t>3.3.3</t>
  </si>
  <si>
    <t>гематологічні та біохімічні дослідження</t>
  </si>
  <si>
    <t xml:space="preserve">середня вартість профілактики і лікування опортуністичних інфекцій на 1 ЛЖВ на рік, тис. грн. </t>
  </si>
  <si>
    <t>динаміка частки ЛЖВ, які охоплені профілактикою та лікуванням опортуністичних інфекцій за кошти бюджету міста Києва. Базовий рівень показника - 10%</t>
  </si>
  <si>
    <t>кількість лікарів-інфекціоністів закладів охорони здоров’я вторинного рівня надання медичної допомоги які пройшли навчання з питань діагностики та лікування ВІЛ-інфекції/СНІДу, осіб</t>
  </si>
  <si>
    <t>середня вартість навчання</t>
  </si>
  <si>
    <t>динаміка показника відсотка лікарів-інфекціоністів ЗОЗ вторинного рівня надання медичної допомоги, які мають відповідну підготовку з питань діагностики та лікування ВІЛ-інфекції/СНІДу. Базовий рівень – 3%</t>
  </si>
  <si>
    <t>чисельність ЛЖВ, яким призначено АРТ, осіб</t>
  </si>
  <si>
    <t>середня вартість річного курсу АРТ для одного ЛЖВ, тис. грн.</t>
  </si>
  <si>
    <t>динаміка частки людей, які знають свій позитивний ВІЛ-статус, і отримують лікування (відносно базового показника 60,7%)</t>
  </si>
  <si>
    <t>динаміка частки ЛЖВ з числа вперше виявлених, яким призначено АРТ лікарем-інфекціоністом за місцем проживання. Базовий рівень показника – 0%</t>
  </si>
  <si>
    <t>число ЛЖВ, які отримують АРТ за місцем проживання, осіб</t>
  </si>
  <si>
    <t xml:space="preserve"> динаміка частки ЛЖВ, які отримують препарати АРТ за місцем проживання. Базовий рівень показника – 40%</t>
  </si>
  <si>
    <t>кількість модернизованих КіЗів, одиниць</t>
  </si>
  <si>
    <t>середня вартість ремонтних робіт 1 КіЗ</t>
  </si>
  <si>
    <t>% відремонтованих КіЗ, від запланованого Базовий показник - 0</t>
  </si>
  <si>
    <t>середня вартість модернізації 1 робочого місця лікаря-інфекціоніста, тис. грн.</t>
  </si>
  <si>
    <t xml:space="preserve"> % модернізованих КіЗ, від запланованого Базовий показник - 0</t>
  </si>
  <si>
    <t>кількість аптечних закладів та чисельність ЛЖВ, які отримують у них АРВП (моніторинг запровадження)</t>
  </si>
  <si>
    <t>середня вартість послуг на 1 ЛЖВ на рік для отримання препаратів в аптеці</t>
  </si>
  <si>
    <t>динамика частки ЛЖВ, які отримують ліки через аптечну мережу, %. Базовий рівень - 0%</t>
  </si>
  <si>
    <t>кількість ЛЖВ, які отримують соціальний супровід</t>
  </si>
  <si>
    <t>річна вартість соціального супроводу 1 ЛЖВ,</t>
  </si>
  <si>
    <t>динаміка показника охоплення ЛЖВ, які перебувають під медичним спостереженням, соціальним супроводом відносно базового рівня – 44%</t>
  </si>
  <si>
    <t>3.4.1</t>
  </si>
  <si>
    <t>3.4.2</t>
  </si>
  <si>
    <t>3.4.3</t>
  </si>
  <si>
    <t>3.4.4</t>
  </si>
  <si>
    <t>3.4.5</t>
  </si>
  <si>
    <t>кількість ЛЖВ, які отримали профілактику туберкульозу</t>
  </si>
  <si>
    <t>кількість ЛЖВ, які отримали профілактику пневмоцистної пневмонії</t>
  </si>
  <si>
    <t>кількість ЛЖВ, які отримали профілактику криптококозу</t>
  </si>
  <si>
    <t>кількість ЛЖВ, які отримали профілактику атипових мікобактеріозів</t>
  </si>
  <si>
    <t>кількість ЛЖВ, які отримали лікування опортуністичних інфекцій</t>
  </si>
  <si>
    <t>5.1.1</t>
  </si>
  <si>
    <t>5.1.2</t>
  </si>
  <si>
    <t>5.1.4</t>
  </si>
  <si>
    <t>5.1.5</t>
  </si>
  <si>
    <t>5.1.3</t>
  </si>
  <si>
    <t>чисельність ЛЖВ, у яких визначено рівень вірусного навантаження, осіб (МБ)</t>
  </si>
  <si>
    <t>чисельність ЛЖВ, у яких визначено рівень вірусного навантаження, осіб (ДБ)</t>
  </si>
  <si>
    <t xml:space="preserve">чисельність ЛЖВ, у яких визначено рівень CD4, осіб </t>
  </si>
  <si>
    <t>чисельність ЛЖВ, яким проведено гематологічні дослідження, осіб</t>
  </si>
  <si>
    <t>чисельність ЛЖВ, яким проведено біохімічні дослідження крові, осіб</t>
  </si>
  <si>
    <t xml:space="preserve">чисельність ЛЖВ, які охоплені діагностикою опортуністичних інфекцій при прогресуючій ВІЛ-інфекції, осіб </t>
  </si>
  <si>
    <t>середня вартість клініко-лабораторного супроводу АРТ на рік 1 ЛЖВ, тис. грн.</t>
  </si>
  <si>
    <t>частка ЛЖВ, у яких досягнуто невизначуваного рівня вірусного навантаження (&lt; 40 РНК копій/мл) відносно базового рівня 85%</t>
  </si>
  <si>
    <t>кількість лікарів, які підвищили кваліфікацію з питань ВІЛ/СНІДу, та надають кваліфіковану допомогу ЛЖВ</t>
  </si>
  <si>
    <t>середні витрати на підвищення кваліфікації лікаря,</t>
  </si>
  <si>
    <t>динаміка частки лікарів, які пройшли стажування з числа тих, що надають допомогу ЛЖВ. Базовий рівень – 12%</t>
  </si>
  <si>
    <t xml:space="preserve"> кількість розроблених нормативних актів, проектів рішень </t>
  </si>
  <si>
    <t xml:space="preserve"> відсоток прийнятих до виконання нормативних актів або рішень від розроблених</t>
  </si>
  <si>
    <t>динаміка відсотка прийнятих до виконання нормативних актів або рішень порівняно з попереднім роком</t>
  </si>
  <si>
    <t>діагностика вірусних гепатитів В і С</t>
  </si>
  <si>
    <t>діагностика сифілісу</t>
  </si>
  <si>
    <t>3.3.4</t>
  </si>
  <si>
    <t>імунологічні дослідження на визначення СД4</t>
  </si>
  <si>
    <t>3.3.5</t>
  </si>
  <si>
    <t>забезпечення вакумними системами для забору крові (вакутайнери)</t>
  </si>
  <si>
    <t>4.1.1</t>
  </si>
  <si>
    <t>4.1.2</t>
  </si>
  <si>
    <t>число ЛЖВ, яким було призначено базові схеми АРТ за місцем проживання, осіб</t>
  </si>
  <si>
    <t>4.2.2</t>
  </si>
  <si>
    <t>4.1.3</t>
  </si>
  <si>
    <t>кількість ЛЖВ з числа нових випадків серед осіб груп підвищеного ризику щодо інфікування ВІЛ, які охоплені соціальним супроводом для досягнення прихильності до АРТ</t>
  </si>
  <si>
    <t>динаміка частки ЛЖВ, які утримуються на лікуванні впродовж 12 місяців від початку лікування. Базовий рівень – 85%</t>
  </si>
  <si>
    <t>Ефективності</t>
  </si>
  <si>
    <t>Забезпечено належного рівню якості досліджень з використанням швидких тестів</t>
  </si>
  <si>
    <t xml:space="preserve"> кількість осіб, які пройшли навчання з надання комплексних профілактичних послуг ГПР у щодо інфікування ВІЛ</t>
  </si>
  <si>
    <t>витрати на проведення навчання на рік</t>
  </si>
  <si>
    <t>збільшення частки соціальних працівників, які пройшли навчання відносно базового рівня 70%</t>
  </si>
  <si>
    <t>1.8.1</t>
  </si>
  <si>
    <t>1.8.2</t>
  </si>
  <si>
    <t>1.8.3</t>
  </si>
  <si>
    <t>1.1.1</t>
  </si>
  <si>
    <t>1.1.2</t>
  </si>
  <si>
    <t>1.1.3</t>
  </si>
  <si>
    <t>1.7.4</t>
  </si>
  <si>
    <t>1.7.1</t>
  </si>
  <si>
    <t>Проведення ремонту приміщень з метою розширення мережі кабінетів ЗПТ на базі закладів охорони здоровя у Подільському та Святошинському районах (2017), Дарницькому, Деснянському, Дніпровському та Шевченківському районах (2018р.)</t>
  </si>
  <si>
    <t>1.7.2</t>
  </si>
  <si>
    <t>1.7.3</t>
  </si>
  <si>
    <t>Реалізація ЗПТ на базі закладів охорони здоров, які надають первинну медико-санітарну допомогу</t>
  </si>
  <si>
    <t>Оснащення кабінетівс ЗПТ на базі закладів охорони здоровя ПМСД у Святошинському, Соломянському та Шевченківському, Подільському, Дарницькому, Деснянському,Дніпровському, Печерському районах (2018 рік)</t>
  </si>
  <si>
    <t>Якість</t>
  </si>
  <si>
    <t>2.3.1</t>
  </si>
  <si>
    <t>Тестування на ВІЛ-інфекцію із застосуванням двох швидких тестів та оптимізації аутріч маршрутів, маршрутів мобільних амбулаторій</t>
  </si>
  <si>
    <t>2.3.2</t>
  </si>
  <si>
    <t>Запезпечення участі медичних працівників у ПТВ на базі громадських центрів та мобільних амбклаторій неурядових організацій</t>
  </si>
  <si>
    <t>2.3.3</t>
  </si>
  <si>
    <t>Залучення до тестування на ВІЛ, зокрема ЧСЧ, через мережу інтернет</t>
  </si>
  <si>
    <t>2.5.1</t>
  </si>
  <si>
    <t>2.5.2</t>
  </si>
  <si>
    <t>ДБ</t>
  </si>
  <si>
    <t>МБ</t>
  </si>
  <si>
    <t>чисельність ЛЖВ, які отримують АРТ</t>
  </si>
  <si>
    <t xml:space="preserve">Кількість невиконаних результативних показників </t>
  </si>
  <si>
    <t>Відсоток виконання результативних показників -</t>
  </si>
  <si>
    <t>2.2</t>
  </si>
  <si>
    <t>кіл-ть осіб</t>
  </si>
  <si>
    <t xml:space="preserve">Кількість виконаних результативних показників </t>
  </si>
  <si>
    <t xml:space="preserve">кіл-ть </t>
  </si>
  <si>
    <t>частково виконано</t>
  </si>
  <si>
    <t>річний показник</t>
  </si>
  <si>
    <t>виконано</t>
  </si>
  <si>
    <t>-</t>
  </si>
  <si>
    <t>Фінансування заходу Програмою не передбачене.</t>
  </si>
  <si>
    <t>Загалом результативних показників</t>
  </si>
  <si>
    <t>не виконано</t>
  </si>
  <si>
    <t>Епідемічна ситуація щодо COVID-19 у  України, зокрема в м.Києві</t>
  </si>
  <si>
    <t>Заплановані бюджетні асигнування на 2021 рік з урахуванням змін</t>
  </si>
  <si>
    <t>3,3,1</t>
  </si>
  <si>
    <t>3,3,2</t>
  </si>
  <si>
    <t>Потреба  на 2021 рік  в закупівлі виробів медичного призначення для визначення рівня вірусного навантаження (ВН) ) відсутня. Поставляється  за рахунок Державного бюджету.</t>
  </si>
  <si>
    <t>Потреба  на 2021 рік  в закупівлі виробів медичного призначення для визначення рівня CD4  відсутня.  Поставляється   за рахунок Державного бюджету.</t>
  </si>
  <si>
    <t>Враховуючи залишки виробів медичного призначення   асигнування заходу на 2021 рік  за рахунок бюджету м.Києва не передбачено</t>
  </si>
  <si>
    <t xml:space="preserve"> НУО проведено консультування клієнтів та навчання навичкиам безпечної поведінки, навчання клієнтів передачі інформації за принципом "РІВНИЙ-РІВНОМУ"</t>
  </si>
  <si>
    <t>Захід був виконаний у 2017-2018 роках</t>
  </si>
  <si>
    <t>Показник сформований на підставі звіту ВБО "Дроп ін Центр"</t>
  </si>
  <si>
    <t>витрати дещо знижені за рахунок проведення навчання на базі організації</t>
  </si>
  <si>
    <t>Показник виконаний</t>
  </si>
  <si>
    <t>показник дещо завищений із-за низької кількості обстежених протягом звітного періоду</t>
  </si>
  <si>
    <t>Річний показник виконаний. 100 відсотків закладів ПМСД здійснюють обстеження на ВІЛ швидкими тестами</t>
  </si>
  <si>
    <t>Показник річний</t>
  </si>
  <si>
    <t xml:space="preserve">Річний показник </t>
  </si>
  <si>
    <t>Річний показник.Показник не виконаний .Всі підтверджувальні аналізи здійснювались за кошти ДБ поставки 2019-2020р</t>
  </si>
  <si>
    <t>Річний показник невиконаний</t>
  </si>
  <si>
    <t>Основна причина невиконання показника, є відставання у темпах виявлення і взяття під медичне спостереження</t>
  </si>
  <si>
    <t>Показник виконаний частково. Показник  у повному обсязі неможливо  подати  із-за міграційних процесів у розрізі адміністативних районів міста Києва</t>
  </si>
  <si>
    <t>Показник невиконаний. Всім пацієнтам із вперше встановленим діагнозом ВІЛ-інфекція, було призначено бахові схеми лікування АРТ</t>
  </si>
  <si>
    <t>показник виконано у 2017-2020 рр</t>
  </si>
  <si>
    <t>Не потребує затрат коштів</t>
  </si>
  <si>
    <t>Не потребує додаткових витрат</t>
  </si>
  <si>
    <t>Показник не виконаний. Основна причина введення карантиних заходів</t>
  </si>
  <si>
    <t>Показник занижений, із-за недовиконання показника, виявлення та  охоплення медичним спостереженням</t>
  </si>
  <si>
    <t>Показник виконаний. 32 соціальні працівники пройшли навчання з комплексних профілактичних послуг груп підвищеного ризику щодо інфікування ВІЛ</t>
  </si>
  <si>
    <t xml:space="preserve">За результатами проведеної роботи будуть оприлюднені результати  зовнішньої оцінки якості  </t>
  </si>
  <si>
    <t xml:space="preserve">Потреба  у фінансуванні на 2021 рік   за рахунок бюджета м.Києва відсутня.  </t>
  </si>
  <si>
    <t>Соціальний супровід ЛЖВ здійснюється, проте  розподіл коштів неможливо розділити з іншими заходами</t>
  </si>
  <si>
    <t>Річний показник</t>
  </si>
  <si>
    <t>Кошти включають Державний бюджет, глобальний фонд,  Solidarite SIDA, Path, MPact Global Action</t>
  </si>
  <si>
    <t>Кошти включають Державний бюджет, глобальний фонд</t>
  </si>
  <si>
    <t>Кошти ДБ та Глобального фонду</t>
  </si>
  <si>
    <t>Кошти інших джерел</t>
  </si>
  <si>
    <t>Кошти ДБ, Місцевого бюджету та інші кошти</t>
  </si>
  <si>
    <t xml:space="preserve">Кошти місцевого бюджету </t>
  </si>
  <si>
    <t>Кошти ДБ та інших джерел</t>
  </si>
  <si>
    <t>Із-за введення карантинних заходів навчання проводилось онлайн</t>
  </si>
  <si>
    <t>Лікування ОІ проводилось за кошти МБ із залишків минулого року та коштів інших джерел</t>
  </si>
  <si>
    <t>Клініко-лабораторне обстеження у повному обсязі проводять за кошти МБ попередніх років</t>
  </si>
  <si>
    <t>Кошти ДБ</t>
  </si>
  <si>
    <t>Кошти інших джерел.</t>
  </si>
  <si>
    <t>Кошти ДБ, Бюджета м. Києва та інших джерел</t>
  </si>
  <si>
    <t>Причина невиконання</t>
  </si>
  <si>
    <t>Показник виконаний. 100 відсотків закладів вторинного та третинного рівнів здійснюють обстеження на ВІЛ швидкими тестами</t>
  </si>
  <si>
    <t xml:space="preserve"> Показник виконаний.100% охоплення ЛЖВ, з вперше встановленим діагнозом ВІЛ-інфекція</t>
  </si>
  <si>
    <t>Показник виконаний.100 % осіб, звернулися та були взяті під медичне спостереження з приводу ВІЛ-інфекції</t>
  </si>
  <si>
    <t>Показник виконаний.100% охоплення у день первиного звернення пацієнта до медичного закладу</t>
  </si>
  <si>
    <t>Показник невиконаний. 100% охоплення клініко-лабораторним моніторингом при взятті під медичне спостереження. Основна причина невиконання показника, зменшення кількоств виявлених ВІЛ-позитивних осіб</t>
  </si>
  <si>
    <t>Показник виконаний. Вакумними системами забезпечено 100%</t>
  </si>
  <si>
    <t xml:space="preserve">Показник виконаний. Охоплено 125% які мали клінічні показання до профілактики атипових мікобактеріозівю. </t>
  </si>
  <si>
    <t>Показник виконаний. 93,7% осіб отримали лікування та профілактику за  кошти місцевого бюджету</t>
  </si>
  <si>
    <t>Показник виконаний. 49 осіб пройшли навчання у рамках проекту Healthtink.</t>
  </si>
  <si>
    <t xml:space="preserve">Показник виконаний. Охоплено 100% навчанням медичних працівників, які потребували </t>
  </si>
  <si>
    <t>Показник невиконаний. Протягом звітного періоду у 100% осіб, яким вперше встановлено діагноз ВІЛ-інфекція, та переведеним із інших регіонів, повторно взятих під медичне спостереження було призначено лікування АРТ. Основна причина є недовиявлення ВІЛ-інфікованих пацієнтів</t>
  </si>
  <si>
    <t xml:space="preserve">Показник виконаний.100% ЛЖВ з числа вперше виявлених,  призначено АРТ лікарем-інфекціоністом за місцем проживання. </t>
  </si>
  <si>
    <t>Показник виконаний.Всі пацієнти, які виявили бажання отримувати АРТ за місцем проживання</t>
  </si>
  <si>
    <t>показник виконаний. Охоплено всі заклади аптечної мережі у м. Києві</t>
  </si>
  <si>
    <t>показник невиконаний. Всі пацієнти, які отримують лікування АРТ, отримують соціальний супровід. Охоплення 100% від потребуючих. Охоплення показника відповідає звітному періоду</t>
  </si>
  <si>
    <t>Показник невиконаний. Аналіз вірусне навантаження проводять за централізовані поставки з ДБ.</t>
  </si>
  <si>
    <t>Показник невиконаний.</t>
  </si>
  <si>
    <t xml:space="preserve">Показник виконаний </t>
  </si>
  <si>
    <t>відсутьня потреба в закурівлі за кошти бюджету м.Києва, поставляється за рахунок державного бюджету та іншиш коштів (НСЗУ та гуманітарна допомога)</t>
  </si>
  <si>
    <t>Кошти включають Державний бюджет, місцевий бюджет за програмою "Діти.Сімя.Столиця", Глобальний фонд, СCDC, Solidarite SIDA, Path, MPact Global Action</t>
  </si>
  <si>
    <t>Кількість осіб, які були обстеженні на ВІЛ 3651осіб</t>
  </si>
  <si>
    <t>Показник виконаний. За даними звітів НГО 168 осіб пройшли навчання у межах проекту Healthtink.</t>
  </si>
  <si>
    <t>чстково викоано</t>
  </si>
  <si>
    <t>частково виконаний</t>
  </si>
  <si>
    <t>Показник виконаний. Частка осіб, які обстежені на опортуністичні інфекції, з числа вперше взятих під медичне спостереження становить 18 %, охоплені 100% всіх пацієнтів, які клінічні показання до обстеження на опортуністичні інфекції</t>
  </si>
  <si>
    <t xml:space="preserve">Показник невиконаний. 11,3% осіб, які виявили отримувати препарати у аптечній мережі. Охоплено 100% від потребуючих. </t>
  </si>
  <si>
    <t>90</t>
  </si>
  <si>
    <t>Показник невиконаний. Результати утримання на рівні спостерігаються на рівні  90%</t>
  </si>
  <si>
    <t>Показник впродовж звітного періоду не виконаний</t>
  </si>
  <si>
    <t>невиконаний</t>
  </si>
  <si>
    <t>Основна причина недовиконання індикатора, є зменшення кількості обстежених на ВІЛ-інфекцію та виявлення ВІЛ-позитивних осіб, у звязку із введенням карантиних заходів COVID-19</t>
  </si>
  <si>
    <t xml:space="preserve">Показник невиконаний. У звітному періоді було оновлено маршрут ВІЛ-інфікованого пацієнта, маршрут пацієнта скринінгу на ВІЛ-інфекцію на первиному, вторинному та третинному рівнях. Розроблено та впроваджено два документа стандартної операційної процедури (СОП): Індексне обстеження на ВІЛ-інфекцію; Відстеження пацієнтів, які знаходяться під медичним спостереженням. </t>
  </si>
  <si>
    <t>Кількість ЧСЧ, яких було залучено до тестування на ВІЛ за звітний період 11 302 осіб. Загалом за звітний період було обстежено 41 320 осіб з груп підвищеного ризику  (код: 101, 102, 103, 104, 105). Виявлено антитіла у крові у 706 осіб</t>
  </si>
  <si>
    <t>% виконання</t>
  </si>
  <si>
    <t>враховууючи залишки виробів мед.призначення (закупівля 2020 року) потреба закладу на 2021 рік для забезпечення виконання заходу ( бюджет м.Києва) складає 254,50 тис.грн.</t>
  </si>
  <si>
    <t>Індикатор розраховується згідно вимог наказу МОЗ України від 03.08.2012 №612 "Про затвердження форм первинної облікової документації та звітності з питань моніторингу заходів профілактики передачі ВІЛ від матері до дитини, інструкцій щодо їх заповнення". Визначається на підставі оцінки когорти дітей звітного (позаминулого) року - дітей, народжених від ВІЛ-інфікованих матерів у 2019 році. Показник 2020 року буде вирахований у ІІІ кварталі 2022 року</t>
  </si>
  <si>
    <t xml:space="preserve">За звітний період було 21 виїздів командою КМЦ СНІДу. </t>
  </si>
  <si>
    <t>Показник занижений, і-за зменшення кількості ЛЖВ, яким було проведено клініко лабораторне обстеженян від планового показника</t>
  </si>
  <si>
    <t>за 12 місяців 2021 року</t>
  </si>
  <si>
    <t>за 12 місяців  2021 року</t>
  </si>
  <si>
    <t xml:space="preserve">Показник виконаний. Показник визначений на підставі звітів НУО за 12 місяців 2021 :  ГО "Клуб Еней", ВБФ "Дроп ін Центр",БО "100 Відсотків життя"  та КМЦ Соцслужб. </t>
  </si>
  <si>
    <t>Показник виконаний.Частка осіб, які охоплені профілактичними програмами впродовж звітного періоду 2021 року становить 89,2 %</t>
  </si>
  <si>
    <t>Частка осіб, які були охоплені профілактичними програми впродовжзвітного періоду 2021  становить 61,7 % від оціночної чисельності ЧСЧ. Основна причина недовиконання показника є зменшення НГО, які працюють у Києві. Запланований показник формувався із розрахінків охоплення 4 неурядових організацій, на сьогоднішній час працюють у місті Києві дві організації</t>
  </si>
  <si>
    <t xml:space="preserve"> Показник недовиконаний.Основна причина недовиконання показника є зменшення організацій, які працюють з даною групою. Плановий показник закладася із розрахунку чотирьох органійзацій, на сьогоднішній час працюють 2 організації.Звіти сформовані на підставі двох організацій: ГО "Альянс.Глобал" та БО "100% життя. Київський регіон". Охоплення показника становить 82,8 % від планового річного показника</t>
  </si>
  <si>
    <t xml:space="preserve">Показник виконаний. Показник сформований на підставі звітів двох організацій: ГГО "Клуб Еней" та ВБО "Конвіктус Україна". </t>
  </si>
  <si>
    <t>Частка осіб, які впродовж звітного періоду були охоплені профілактичними програми становить 84 % від оціночної чисельності РКС</t>
  </si>
  <si>
    <t xml:space="preserve">Показник виконаний. Протягом звітного періду інформаційними матеріалами було охоплено 72450 осіб або 90% осіб від планового показника ключових груп уразливих до інфікування ВІЛ. </t>
  </si>
  <si>
    <t>Показник у звітному виконаний. За звітами НГО за звітний період було впроваджено  2  моделі профілактитчної роботи з метою виходу на важкодоступні ГПР до інфікування ВІЛ :                  1). " Виявлення випадків ВІЛ-інфекції та доступу до лікування  серед дорослих чоловіків";                       2). Виявлення випадків ВІЛ серед  ключових груп до інфікування, зокрема серед підлітків та молоді. Кількість осіб, які пройли тестування на ВІЛ становить 3562 осіб; 900 осіб пройли тестування на сифиліс; туберкульоз - 2945 осіб; Вірусний гепатит С- 2621;</t>
  </si>
  <si>
    <t>Загальна кількість осіб, з ключових груп ризику уразливих до інфікування ВІЛ, які були охоплені профілактичними програмами у звітному періоді становить 98,9 % або 59 170 осіб</t>
  </si>
  <si>
    <t>Показник виконаний. Протягомт звітного періоду 2021 р. доконтактну профілактику отримали 1111 осіб.</t>
  </si>
  <si>
    <t>Показник виконаний. У м.Києві у  2021 функціонує 5 мобільних амбулаторій, зокрема мобільна амбулаторія закріплена за організаціями: ВБО"Конвіктус Україна", ВБФ "Дроп ін Центр", Фундація АнтиСНІД-США(AHF)-2; МБФ "Альянс громадського здоров'я". Кількість осіб, які скористалися МА узвітному періоді становить 6 810 осіб, з них обстежено на ВІЛ - 4250 особи, виявили антитіла у 102 осіб. Всі клієнти МА були перенаправлекні до КМЦ СНІДу на дообстеження та подальше медичне спостереження</t>
  </si>
  <si>
    <t xml:space="preserve">Показник виконаний. Відсоток представників ключових груп ризику, які мали доступ до МА 77,3 % </t>
  </si>
  <si>
    <t>відсоток осіб, які отримують доконтактну профілактику від оціночної чисельності становить 3,3%</t>
  </si>
  <si>
    <t>Показник  виконаний. За даними сероепідмоніторингу   було виявлено 285 ВІЛ-інфікований партнер, всі 100% охоплено медичним наглядом.</t>
  </si>
  <si>
    <t xml:space="preserve"> Показник виконаний. За звітний період було виявлено антитіла у 285 статеві партнери ЛЖВ. Всіх виявлених взято під медичне спостереження у ЗОЗ м. Києва. </t>
  </si>
  <si>
    <t>Показник виконанний. 1351 особа отримує ЗПТ у приватних клініках м.Києва; 1319 осіб у комунальних закладах м. Києва</t>
  </si>
  <si>
    <t>90,9 % отримують за кошти Державного бюджету від планового річного показника</t>
  </si>
  <si>
    <t>47,9 %  отримують за кошти з Інших джерел, у т.ч. власні кошти</t>
  </si>
  <si>
    <t>29,5 % пацієнтів отримують за кошти місцевого бюджету від планого програмного показника</t>
  </si>
  <si>
    <t xml:space="preserve">Показник виконаний. Відсоток охоплення ЗПТ від кількості осіб, які знаходяться під диспансерним наглядом внаслідок вживання інєкційних наркотиків становить 46,18 </t>
  </si>
  <si>
    <t>Показник недовиконаний.Протягом звітного періоду загалом було обстежено 29315 вагітних жінок, з урахуванням 24918 жінок обстежено вперше. У 50 зразках крові, були виявленні антитіла до ВІЛ. Основна причина невиконання показника, тенденція щодо зменшення кількості вагітних у м.Києві загалом</t>
  </si>
  <si>
    <t>Річний показник виконаний частково, проте охоплено 100% від потребуючих.Основна причина недовиконання є зменшення пологів серед ВІЛ-інфікованих вагітних, відповідно і зменшений показник народжених малюків</t>
  </si>
  <si>
    <t>Плановий показник недовиконаний. Охоплено 100 % від потребуючих немовлят. Протягом звітного періоду народилось 164 динити, всі отримали профілактику АРТ препаратами. Причина недовиконання показника є зменшення народжуваності серед ВІЛ-інфікованих жінок.</t>
  </si>
  <si>
    <t>Плановий показник  виконаний. Протягом звітного періоду на базі ЗОЗ (первинна, вторинна, третинна ланки) обстеженно швидкими тестами 93377 осsб. Загалом у Києві згідно "Звітної форми №1 квартальної" обстежено на ВІЛ-інфекцію 240677осіб, з них швидкими тестами 108244 осіб.</t>
  </si>
  <si>
    <t>У 1197 зразках крові, було виявлені антитіла до ВІЛ., З них вперше отримали діагноз ВІЛ - 1104 особи.</t>
  </si>
  <si>
    <t>Відсоток позитивних результатів 0,6 %</t>
  </si>
  <si>
    <t>Частка осіб, які живуть з ВІЛ і знають свій Віл-статус становить 80,0%</t>
  </si>
  <si>
    <t>Показник виконаний частково, річного звіту за 12 міс 2021 року, обстежено загалом 86814 особи, у 1793 осіб виявлено позитивний результат. З них вперше отримано ВІЛ- статус 399 осіб. Всі особи (100%) охоплено мединим спостереженням</t>
  </si>
  <si>
    <t>Показник виконаний.</t>
  </si>
  <si>
    <t>Показник виконаний. За даними звітів громадських організацій 30 медичних працівників пройшли навчання у рамках проекту Health Link.</t>
  </si>
  <si>
    <t>Показник виконаний.. Плановий показник у програму не закладений, проте даний показник був профінансований за рахунок централізованих поставок (2019-2020рр) з ДБ, було проведено підтверджувальні аналізи  у 1599 осіб.  У повному обсязі діагностику підтверджуючих аналізів було проведено за кошти ДБ</t>
  </si>
  <si>
    <t>Річний показник невиконаний. Основна причина недовиконання, є довиявлення ВІЛ-інфікованих осіб</t>
  </si>
  <si>
    <t>80,0% ( 15 837 осіб від оціночної чисельності 19 837 людини) знають свій статус і знаходяться під медичним спостереженням</t>
  </si>
  <si>
    <t xml:space="preserve">Показник виконаний.Протягом звітного періоду під час перебування на стаціонарному лікування було виявлено у 726 осіб антитіла до ВІЛ-інфекції. У 383 (52,8%) особах, діагноз ВІЛ-інфекція встановлено вперше у житті, решта 47,2% (343) осіб ,антитіла до ВІЛ, виявили повторно ( дубляж), це пацієнти, які вже знаходяться під медичним спостереженням; </t>
  </si>
  <si>
    <t>Впродовж звітного періоду  2021 р було взято під медичне спостереження за місцем проживання з вперше встановленим діагнозом ВІЛ -  1104 особи</t>
  </si>
  <si>
    <t>Показник невиконаний.Протягом звітного періоду 399 осіб були перенаправленні працівниками НГО до медичного закладу для дообстеження та підтвердження діагнозу ВІЛ-інфекція</t>
  </si>
  <si>
    <t>Показник невиконаний.Протягом звітного періоду, 1258осіб з вперше встановленим діагнозом були взяті під медичне спостереження у день первинного звернення до медичного закладу. Всі хто звернулися, були взяті під медичне спостереженняу день первиного звернення</t>
  </si>
  <si>
    <t>Показник виконаний.Протягом звітного періоду 2021 року , діагноз СНІД було встановлено 202 особам, всі вони були обстежені на наявність опортуністичних інфекцій</t>
  </si>
  <si>
    <t>Показник виконаний. Охоплено 100 % від потребуючих клініко лабораторним моніторингом, або 1104 осіб, які були взяті під медичне спостереження у звітному періоді</t>
  </si>
  <si>
    <t>Показник виконаний. Профілактику туберкульозу отримали 1377 особи, що на 627 осіб більше запланованого показника. Охоплено всіх ЛЖВ у кого були клінічні показання до профілактики опортуністичних інфекцій. Охоплення показника відповідаєж звітному періоду</t>
  </si>
  <si>
    <t>Показник виконаний. Протягом звітного періоду профілактику пневмоцистної пневмонії отрмали у пятеро більше осіб, чим плановий показник. Профілактикою охоплено 100% потребуючих</t>
  </si>
  <si>
    <t xml:space="preserve">Показник виконаний.У двічі більше осіб отримали профілактику криптококозу, від планового показника. Профілактикою охоплено 100% які мали клінічні показання. </t>
  </si>
  <si>
    <t xml:space="preserve">Показник виконаний. 1370 осіб отримали лікування опортуністичних інфекцій за кошти місцевого бюджету. </t>
  </si>
  <si>
    <t>Показник невиконаний. Чисельність ЛДЖВ, які отримують лікування становить 12930осіб, з них 990 осіб знаходяться на лікуванні у ДУ «Інститут епідеміології та інфекційних хвороб ім. Л.В. Громашевського НАМН України). Основна причина недовиконання є відставання у темпах виявлення ВІЛ-інфікованих пацієнтів та велика міграція у розрізі країни</t>
  </si>
  <si>
    <t>Показник невиконаний.Частка, осіб які знають свій ВІЛ-статус і отримують лікування АРТ становить 81,5</t>
  </si>
  <si>
    <t>Показник виконаний.81,5 % осіб, які знають свій ВІЛ-статус і знаходяться під медичним спостереженням отримали соціальний супровід. Охоплення 100% від потребуючих</t>
  </si>
  <si>
    <t>Показник невиконаний. Плановий показник відсутній.Проте, за звітний період  охоплено 12974 (100%) осіб від потребуючих.Основна причина недовиконання показника є зміна нормативних документів.</t>
  </si>
  <si>
    <t>Показник невиконаний.За звітний період охоплено 11449 (100%) осіб від потребуючих.  Основна причина недовиконання показника є зміна нормативного документа.</t>
  </si>
  <si>
    <t>Показник невиконаний.За звітний період охоплено20920(100% ) від потребуючих. Основна причина недовиконання показника є зміна нормативного документа</t>
  </si>
  <si>
    <t>Показник невиконаний.За звітний період охоплено 25394(100%) від потребуючих. Основна причина недовиконання є зміна нормативних документів.</t>
  </si>
  <si>
    <t xml:space="preserve">Показник виконаний.За звітний період охоплено 1587 (100%) які мали показання до діагностики опортуністичних інфекцій. </t>
  </si>
  <si>
    <t>Показник виконаний. У 95% (12 331 осіб) вірусне навантаження не визначається</t>
  </si>
  <si>
    <t>Показник недовиконаний на 8,5%. Основна причина відставання  у темпах виявлення та взяття під  медичне спостереження.</t>
  </si>
  <si>
    <t>Показник виконаний. Перевищення планового показника на 5 %</t>
  </si>
  <si>
    <t>виконаний</t>
  </si>
  <si>
    <t xml:space="preserve">за рахунок бюджету м.Києва проведено закупівлю  UA-2021-03-18-006476-c (відкриті торги) </t>
  </si>
  <si>
    <t xml:space="preserve">за рахунок бюджету м.Києва проведено  закупівлю  UA-2021-04-06-007507-a  (відкриті торги)  </t>
  </si>
  <si>
    <t xml:space="preserve">за рахунок бюджету м.Києва  проведена закупівля  UA-2021-05-28-006715-b   </t>
  </si>
  <si>
    <t xml:space="preserve">за рахунок бюджету м.Києва  проведена закупівля  UA-2021-08-13-004028-b   </t>
  </si>
  <si>
    <t xml:space="preserve">за рахунок бюджету м.Києва проведена закупівля  UA-2021-05-25-010636-b  (відкриті торги)  </t>
  </si>
  <si>
    <t xml:space="preserve">за рахунок бюджету м.Києва проведена закупівля  UA-2021-05-28-0067715-b  (відкриті торги) </t>
  </si>
  <si>
    <t xml:space="preserve">враховуючи залишки (закупівля 2020р) за рахунок бюджету м.Києва проведена закупівля  UA-2021-05-28-0067715-b  (відкриті торги) </t>
  </si>
  <si>
    <t xml:space="preserve">за рахунок бюджету м.Києва проведена закупівля  UA-2021-05-28-006715-b та UA-2021-08-19-004952-a   </t>
  </si>
  <si>
    <t>Показник виконаний частково. За звітний період було вперше зареєстровано 1258 випадків ВІЛ, у т.ч.  154 дитини на моніторингу. Однією із причин недовиконання показника є відставання у темпах виявлення ВІЛ серед населення</t>
  </si>
  <si>
    <t>Показник виконаний. 100% охоплення соціальним супроводом. Охоплення показника відповідає звітному періоду</t>
  </si>
  <si>
    <t xml:space="preserve">Заступник директора – 
начальник управління економіки </t>
  </si>
  <si>
    <t>Дмитро КУЦОПАЛ</t>
  </si>
  <si>
    <t xml:space="preserve">Начальник відділу первинної медико-санітарної допомоги   </t>
  </si>
  <si>
    <t>Василь ЖИВОТЕНЮК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</si>
</sst>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_₽_-;\-* #,##0.00\ _₽_-;_-* &quot;-&quot;??\ _₽_-;_-@_-"/>
    <numFmt numFmtId="165" formatCode="#,##0.0"/>
    <numFmt numFmtId="166" formatCode="0.000"/>
    <numFmt numFmtId="167" formatCode="0.0000"/>
    <numFmt numFmtId="168" formatCode="0.0"/>
    <numFmt numFmtId="169" formatCode="#,##0.00\ _₽;[Red]#,##0.00\ _₽"/>
    <numFmt numFmtId="170" formatCode="#,##0.00\ _₽"/>
    <numFmt numFmtId="171" formatCode="#,##0.00\ _₴"/>
    <numFmt numFmtId="172" formatCode="#,##0.00_₴"/>
  </numFmts>
  <fonts count="29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Calibri"/>
      <family val="2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rgb="FF006100"/>
      <name val="Times New Roman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name val="Cambria"/>
      <family val="1"/>
      <charset val="204"/>
      <scheme val="major"/>
    </font>
    <font>
      <b/>
      <sz val="9"/>
      <name val="Cambria"/>
      <family val="1"/>
      <charset val="204"/>
      <scheme val="major"/>
    </font>
    <font>
      <sz val="10"/>
      <name val="Cambria"/>
      <family val="1"/>
      <charset val="204"/>
      <scheme val="major"/>
    </font>
    <font>
      <sz val="9"/>
      <name val="Cambria"/>
      <family val="1"/>
      <charset val="204"/>
      <scheme val="major"/>
    </font>
    <font>
      <sz val="1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0"/>
      <color theme="1"/>
      <name val="Cambria"/>
      <family val="1"/>
      <charset val="204"/>
      <scheme val="major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4" fillId="0" borderId="0"/>
    <xf numFmtId="164" fontId="13" fillId="0" borderId="0" applyFont="0" applyFill="0" applyBorder="0" applyAlignment="0" applyProtection="0"/>
    <xf numFmtId="0" fontId="15" fillId="2" borderId="0" applyNumberFormat="0" applyBorder="0" applyAlignment="0" applyProtection="0"/>
  </cellStyleXfs>
  <cellXfs count="295">
    <xf numFmtId="0" fontId="0" fillId="0" borderId="0" xfId="0"/>
    <xf numFmtId="0" fontId="3" fillId="0" borderId="0" xfId="0" applyFont="1" applyFill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Border="1"/>
    <xf numFmtId="0" fontId="2" fillId="0" borderId="0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/>
    </xf>
    <xf numFmtId="0" fontId="17" fillId="0" borderId="2" xfId="0" applyFont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6" fillId="0" borderId="3" xfId="0" applyFont="1" applyFill="1" applyBorder="1" applyAlignment="1">
      <alignment horizontal="center" vertical="center"/>
    </xf>
    <xf numFmtId="0" fontId="16" fillId="0" borderId="2" xfId="0" applyFont="1" applyBorder="1" applyAlignment="1">
      <alignment vertical="top" wrapText="1"/>
    </xf>
    <xf numFmtId="0" fontId="16" fillId="0" borderId="4" xfId="0" applyFont="1" applyBorder="1" applyAlignment="1">
      <alignment vertical="top" wrapText="1"/>
    </xf>
    <xf numFmtId="0" fontId="16" fillId="0" borderId="5" xfId="0" applyFont="1" applyBorder="1"/>
    <xf numFmtId="0" fontId="16" fillId="0" borderId="6" xfId="0" applyFont="1" applyBorder="1"/>
    <xf numFmtId="0" fontId="16" fillId="0" borderId="7" xfId="0" applyFont="1" applyBorder="1" applyAlignment="1">
      <alignment vertical="top" wrapText="1"/>
    </xf>
    <xf numFmtId="0" fontId="0" fillId="0" borderId="8" xfId="0" applyBorder="1"/>
    <xf numFmtId="0" fontId="0" fillId="0" borderId="9" xfId="0" applyBorder="1" applyAlignment="1">
      <alignment vertical="top" wrapText="1"/>
    </xf>
    <xf numFmtId="0" fontId="0" fillId="0" borderId="1" xfId="0" applyBorder="1"/>
    <xf numFmtId="0" fontId="0" fillId="0" borderId="10" xfId="0" applyBorder="1"/>
    <xf numFmtId="0" fontId="6" fillId="0" borderId="3" xfId="0" applyFont="1" applyFill="1" applyBorder="1" applyAlignment="1">
      <alignment horizontal="center" vertical="top" wrapText="1"/>
    </xf>
    <xf numFmtId="4" fontId="1" fillId="0" borderId="0" xfId="0" applyNumberFormat="1" applyFont="1" applyFill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top" wrapText="1"/>
    </xf>
    <xf numFmtId="4" fontId="4" fillId="0" borderId="3" xfId="0" applyNumberFormat="1" applyFont="1" applyFill="1" applyBorder="1" applyAlignment="1">
      <alignment horizontal="center" vertical="top"/>
    </xf>
    <xf numFmtId="4" fontId="4" fillId="0" borderId="5" xfId="0" applyNumberFormat="1" applyFont="1" applyFill="1" applyBorder="1" applyAlignment="1">
      <alignment horizontal="center" vertical="top"/>
    </xf>
    <xf numFmtId="0" fontId="4" fillId="0" borderId="5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top"/>
    </xf>
    <xf numFmtId="4" fontId="4" fillId="0" borderId="11" xfId="0" applyNumberFormat="1" applyFont="1" applyFill="1" applyBorder="1" applyAlignment="1">
      <alignment horizontal="center" vertical="top"/>
    </xf>
    <xf numFmtId="4" fontId="4" fillId="0" borderId="0" xfId="0" applyNumberFormat="1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4" fillId="0" borderId="11" xfId="0" applyFont="1" applyFill="1" applyBorder="1" applyAlignment="1">
      <alignment horizontal="center" vertical="top"/>
    </xf>
    <xf numFmtId="4" fontId="4" fillId="0" borderId="12" xfId="0" applyNumberFormat="1" applyFont="1" applyFill="1" applyBorder="1" applyAlignment="1">
      <alignment horizontal="center" vertical="top"/>
    </xf>
    <xf numFmtId="4" fontId="4" fillId="0" borderId="1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4" fillId="0" borderId="12" xfId="0" applyFont="1" applyFill="1" applyBorder="1" applyAlignment="1">
      <alignment horizontal="center" vertical="top"/>
    </xf>
    <xf numFmtId="4" fontId="5" fillId="0" borderId="2" xfId="0" applyNumberFormat="1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Alignment="1">
      <alignment horizontal="center" vertical="center"/>
    </xf>
    <xf numFmtId="166" fontId="5" fillId="0" borderId="2" xfId="0" applyNumberFormat="1" applyFont="1" applyFill="1" applyBorder="1" applyAlignment="1">
      <alignment horizontal="center" vertical="center" wrapText="1"/>
    </xf>
    <xf numFmtId="166" fontId="5" fillId="0" borderId="11" xfId="0" applyNumberFormat="1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 applyProtection="1">
      <alignment horizontal="center" vertical="top" wrapText="1"/>
    </xf>
    <xf numFmtId="0" fontId="18" fillId="0" borderId="2" xfId="0" applyFont="1" applyFill="1" applyBorder="1" applyAlignment="1" applyProtection="1">
      <alignment vertical="top" wrapText="1"/>
    </xf>
    <xf numFmtId="169" fontId="19" fillId="0" borderId="13" xfId="0" applyNumberFormat="1" applyFont="1" applyFill="1" applyBorder="1" applyAlignment="1" applyProtection="1">
      <alignment horizontal="center" vertical="center" wrapText="1"/>
    </xf>
    <xf numFmtId="169" fontId="18" fillId="3" borderId="14" xfId="0" applyNumberFormat="1" applyFont="1" applyFill="1" applyBorder="1" applyAlignment="1" applyProtection="1">
      <alignment horizontal="center" vertical="center"/>
    </xf>
    <xf numFmtId="169" fontId="18" fillId="0" borderId="15" xfId="0" applyNumberFormat="1" applyFont="1" applyFill="1" applyBorder="1" applyAlignment="1" applyProtection="1">
      <alignment horizontal="center" vertical="center"/>
    </xf>
    <xf numFmtId="169" fontId="18" fillId="0" borderId="2" xfId="0" applyNumberFormat="1" applyFont="1" applyFill="1" applyBorder="1" applyAlignment="1" applyProtection="1">
      <alignment horizontal="center" vertical="center"/>
    </xf>
    <xf numFmtId="169" fontId="18" fillId="0" borderId="16" xfId="0" applyNumberFormat="1" applyFont="1" applyFill="1" applyBorder="1" applyAlignment="1" applyProtection="1">
      <alignment horizontal="center" vertical="center"/>
    </xf>
    <xf numFmtId="169" fontId="18" fillId="3" borderId="14" xfId="2" applyNumberFormat="1" applyFont="1" applyFill="1" applyBorder="1" applyAlignment="1" applyProtection="1">
      <alignment horizontal="center" vertical="center"/>
    </xf>
    <xf numFmtId="169" fontId="18" fillId="0" borderId="14" xfId="2" applyNumberFormat="1" applyFont="1" applyFill="1" applyBorder="1" applyAlignment="1" applyProtection="1">
      <alignment horizontal="center" vertical="center"/>
    </xf>
    <xf numFmtId="49" fontId="20" fillId="0" borderId="2" xfId="0" applyNumberFormat="1" applyFont="1" applyFill="1" applyBorder="1" applyAlignment="1" applyProtection="1">
      <alignment horizontal="center" vertical="top" wrapText="1"/>
    </xf>
    <xf numFmtId="0" fontId="20" fillId="0" borderId="2" xfId="0" applyFont="1" applyFill="1" applyBorder="1" applyAlignment="1" applyProtection="1">
      <alignment horizontal="left" vertical="top" wrapText="1"/>
    </xf>
    <xf numFmtId="169" fontId="21" fillId="0" borderId="4" xfId="0" applyNumberFormat="1" applyFont="1" applyFill="1" applyBorder="1" applyAlignment="1" applyProtection="1">
      <alignment horizontal="center" vertical="center" wrapText="1"/>
    </xf>
    <xf numFmtId="169" fontId="20" fillId="3" borderId="14" xfId="0" applyNumberFormat="1" applyFont="1" applyFill="1" applyBorder="1" applyAlignment="1" applyProtection="1">
      <alignment horizontal="center" vertical="center"/>
    </xf>
    <xf numFmtId="169" fontId="20" fillId="0" borderId="15" xfId="0" applyNumberFormat="1" applyFont="1" applyFill="1" applyBorder="1" applyAlignment="1" applyProtection="1">
      <alignment horizontal="center" vertical="center"/>
    </xf>
    <xf numFmtId="169" fontId="20" fillId="0" borderId="2" xfId="0" applyNumberFormat="1" applyFont="1" applyFill="1" applyBorder="1" applyAlignment="1" applyProtection="1">
      <alignment horizontal="center" vertical="center"/>
    </xf>
    <xf numFmtId="169" fontId="20" fillId="0" borderId="16" xfId="0" applyNumberFormat="1" applyFont="1" applyFill="1" applyBorder="1" applyAlignment="1" applyProtection="1">
      <alignment horizontal="center" vertical="center"/>
    </xf>
    <xf numFmtId="169" fontId="20" fillId="3" borderId="14" xfId="2" applyNumberFormat="1" applyFont="1" applyFill="1" applyBorder="1" applyAlignment="1" applyProtection="1">
      <alignment horizontal="center" vertical="center"/>
    </xf>
    <xf numFmtId="169" fontId="20" fillId="0" borderId="15" xfId="2" applyNumberFormat="1" applyFont="1" applyFill="1" applyBorder="1" applyAlignment="1" applyProtection="1">
      <alignment horizontal="center" vertical="center"/>
    </xf>
    <xf numFmtId="169" fontId="20" fillId="0" borderId="2" xfId="2" applyNumberFormat="1" applyFont="1" applyFill="1" applyBorder="1" applyAlignment="1" applyProtection="1">
      <alignment horizontal="center" vertical="center"/>
    </xf>
    <xf numFmtId="169" fontId="20" fillId="0" borderId="16" xfId="2" applyNumberFormat="1" applyFont="1" applyFill="1" applyBorder="1" applyAlignment="1" applyProtection="1">
      <alignment horizontal="center" vertical="center"/>
    </xf>
    <xf numFmtId="0" fontId="20" fillId="0" borderId="2" xfId="0" applyFont="1" applyFill="1" applyBorder="1" applyAlignment="1" applyProtection="1">
      <alignment vertical="top" wrapText="1"/>
    </xf>
    <xf numFmtId="0" fontId="18" fillId="0" borderId="13" xfId="0" applyFont="1" applyFill="1" applyBorder="1" applyAlignment="1" applyProtection="1">
      <alignment horizontal="left" vertical="top" wrapText="1"/>
    </xf>
    <xf numFmtId="169" fontId="19" fillId="0" borderId="4" xfId="0" applyNumberFormat="1" applyFont="1" applyFill="1" applyBorder="1" applyAlignment="1" applyProtection="1">
      <alignment horizontal="center" vertical="center" wrapText="1"/>
    </xf>
    <xf numFmtId="169" fontId="18" fillId="0" borderId="15" xfId="2" applyNumberFormat="1" applyFont="1" applyFill="1" applyBorder="1" applyAlignment="1" applyProtection="1">
      <alignment horizontal="center" vertical="center"/>
    </xf>
    <xf numFmtId="169" fontId="18" fillId="0" borderId="2" xfId="2" applyNumberFormat="1" applyFont="1" applyFill="1" applyBorder="1" applyAlignment="1" applyProtection="1">
      <alignment horizontal="center" vertical="center"/>
    </xf>
    <xf numFmtId="169" fontId="18" fillId="0" borderId="16" xfId="2" applyNumberFormat="1" applyFont="1" applyFill="1" applyBorder="1" applyAlignment="1" applyProtection="1">
      <alignment horizontal="center" vertical="center"/>
    </xf>
    <xf numFmtId="0" fontId="18" fillId="0" borderId="4" xfId="0" applyFont="1" applyFill="1" applyBorder="1" applyAlignment="1" applyProtection="1">
      <alignment horizontal="left" vertical="top" wrapText="1"/>
    </xf>
    <xf numFmtId="0" fontId="20" fillId="0" borderId="13" xfId="0" applyFont="1" applyFill="1" applyBorder="1" applyAlignment="1" applyProtection="1">
      <alignment horizontal="left" vertical="top" wrapText="1"/>
    </xf>
    <xf numFmtId="0" fontId="18" fillId="0" borderId="2" xfId="0" applyFont="1" applyFill="1" applyBorder="1" applyAlignment="1" applyProtection="1">
      <alignment horizontal="left" vertical="top" wrapText="1"/>
    </xf>
    <xf numFmtId="0" fontId="18" fillId="0" borderId="13" xfId="0" applyFont="1" applyFill="1" applyBorder="1" applyAlignment="1" applyProtection="1">
      <alignment vertical="top" wrapText="1"/>
    </xf>
    <xf numFmtId="0" fontId="20" fillId="0" borderId="13" xfId="0" applyFont="1" applyFill="1" applyBorder="1" applyAlignment="1" applyProtection="1">
      <alignment vertical="top" wrapText="1"/>
    </xf>
    <xf numFmtId="49" fontId="18" fillId="0" borderId="3" xfId="0" applyNumberFormat="1" applyFont="1" applyFill="1" applyBorder="1" applyAlignment="1" applyProtection="1">
      <alignment horizontal="center" vertical="top" wrapText="1"/>
    </xf>
    <xf numFmtId="0" fontId="18" fillId="0" borderId="3" xfId="0" applyFont="1" applyFill="1" applyBorder="1" applyAlignment="1" applyProtection="1">
      <alignment vertical="top" wrapText="1"/>
    </xf>
    <xf numFmtId="169" fontId="21" fillId="0" borderId="13" xfId="0" applyNumberFormat="1" applyFont="1" applyFill="1" applyBorder="1" applyAlignment="1" applyProtection="1">
      <alignment horizontal="center" vertical="center" wrapText="1"/>
    </xf>
    <xf numFmtId="49" fontId="18" fillId="0" borderId="12" xfId="0" applyNumberFormat="1" applyFont="1" applyFill="1" applyBorder="1" applyAlignment="1" applyProtection="1">
      <alignment horizontal="center" vertical="top" wrapText="1"/>
    </xf>
    <xf numFmtId="0" fontId="18" fillId="0" borderId="12" xfId="0" applyFont="1" applyFill="1" applyBorder="1" applyAlignment="1" applyProtection="1">
      <alignment vertical="top" wrapText="1"/>
    </xf>
    <xf numFmtId="169" fontId="19" fillId="0" borderId="9" xfId="0" applyNumberFormat="1" applyFont="1" applyFill="1" applyBorder="1" applyAlignment="1" applyProtection="1">
      <alignment horizontal="center" vertical="center" wrapText="1"/>
    </xf>
    <xf numFmtId="0" fontId="20" fillId="0" borderId="2" xfId="0" applyFont="1" applyFill="1" applyBorder="1" applyAlignment="1" applyProtection="1">
      <alignment horizontal="left" wrapText="1"/>
    </xf>
    <xf numFmtId="165" fontId="5" fillId="0" borderId="2" xfId="0" applyNumberFormat="1" applyFont="1" applyFill="1" applyBorder="1" applyAlignment="1">
      <alignment horizontal="center" vertical="top" wrapText="1"/>
    </xf>
    <xf numFmtId="1" fontId="1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0" fontId="8" fillId="0" borderId="0" xfId="0" applyFont="1" applyFill="1" applyAlignment="1">
      <alignment wrapText="1"/>
    </xf>
    <xf numFmtId="169" fontId="19" fillId="0" borderId="2" xfId="0" applyNumberFormat="1" applyFont="1" applyFill="1" applyBorder="1" applyAlignment="1" applyProtection="1">
      <alignment horizontal="center" vertical="top" wrapText="1"/>
    </xf>
    <xf numFmtId="169" fontId="21" fillId="0" borderId="2" xfId="0" applyNumberFormat="1" applyFont="1" applyFill="1" applyBorder="1" applyAlignment="1" applyProtection="1">
      <alignment horizontal="center" vertical="top" wrapText="1"/>
    </xf>
    <xf numFmtId="169" fontId="19" fillId="0" borderId="4" xfId="0" applyNumberFormat="1" applyFont="1" applyFill="1" applyBorder="1" applyAlignment="1" applyProtection="1">
      <alignment horizontal="center" vertical="top" wrapText="1"/>
    </xf>
    <xf numFmtId="169" fontId="21" fillId="0" borderId="3" xfId="0" applyNumberFormat="1" applyFont="1" applyFill="1" applyBorder="1" applyAlignment="1" applyProtection="1">
      <alignment horizontal="center" vertical="top" wrapText="1"/>
    </xf>
    <xf numFmtId="169" fontId="21" fillId="0" borderId="4" xfId="0" applyNumberFormat="1" applyFont="1" applyFill="1" applyBorder="1" applyAlignment="1" applyProtection="1">
      <alignment horizontal="center" vertical="top" wrapText="1"/>
    </xf>
    <xf numFmtId="169" fontId="19" fillId="0" borderId="3" xfId="0" applyNumberFormat="1" applyFont="1" applyFill="1" applyBorder="1" applyAlignment="1" applyProtection="1">
      <alignment horizontal="center" vertical="top" wrapText="1"/>
    </xf>
    <xf numFmtId="169" fontId="19" fillId="0" borderId="12" xfId="0" applyNumberFormat="1" applyFont="1" applyFill="1" applyBorder="1" applyAlignment="1" applyProtection="1">
      <alignment horizontal="center" vertical="top" wrapText="1"/>
    </xf>
    <xf numFmtId="0" fontId="0" fillId="0" borderId="0" xfId="0" applyFill="1"/>
    <xf numFmtId="0" fontId="0" fillId="0" borderId="0" xfId="0" applyFill="1" applyBorder="1"/>
    <xf numFmtId="169" fontId="18" fillId="0" borderId="14" xfId="0" applyNumberFormat="1" applyFont="1" applyFill="1" applyBorder="1" applyAlignment="1" applyProtection="1">
      <alignment horizontal="center" vertical="center"/>
    </xf>
    <xf numFmtId="0" fontId="22" fillId="0" borderId="0" xfId="0" applyFont="1" applyFill="1"/>
    <xf numFmtId="169" fontId="18" fillId="3" borderId="15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168" fontId="0" fillId="0" borderId="0" xfId="0" applyNumberFormat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top"/>
    </xf>
    <xf numFmtId="4" fontId="5" fillId="0" borderId="15" xfId="0" applyNumberFormat="1" applyFont="1" applyFill="1" applyBorder="1" applyAlignment="1">
      <alignment horizontal="center" vertical="top"/>
    </xf>
    <xf numFmtId="4" fontId="23" fillId="0" borderId="2" xfId="0" applyNumberFormat="1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" fontId="4" fillId="0" borderId="0" xfId="0" applyNumberFormat="1" applyFont="1" applyFill="1" applyAlignment="1">
      <alignment horizontal="center"/>
    </xf>
    <xf numFmtId="4" fontId="4" fillId="0" borderId="0" xfId="0" applyNumberFormat="1" applyFont="1" applyFill="1"/>
    <xf numFmtId="0" fontId="5" fillId="0" borderId="11" xfId="0" applyNumberFormat="1" applyFont="1" applyFill="1" applyBorder="1" applyAlignment="1">
      <alignment horizontal="center" vertical="top"/>
    </xf>
    <xf numFmtId="0" fontId="5" fillId="0" borderId="12" xfId="0" applyNumberFormat="1" applyFont="1" applyFill="1" applyBorder="1" applyAlignment="1">
      <alignment horizontal="center" vertical="top"/>
    </xf>
    <xf numFmtId="0" fontId="5" fillId="0" borderId="11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" fontId="23" fillId="4" borderId="2" xfId="0" applyNumberFormat="1" applyFont="1" applyFill="1" applyBorder="1" applyAlignment="1">
      <alignment horizontal="center" vertical="top"/>
    </xf>
    <xf numFmtId="0" fontId="25" fillId="0" borderId="0" xfId="0" applyFont="1"/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69" fontId="2" fillId="0" borderId="2" xfId="0" applyNumberFormat="1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left" vertical="center" wrapText="1"/>
    </xf>
    <xf numFmtId="0" fontId="16" fillId="5" borderId="2" xfId="0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69" fontId="26" fillId="0" borderId="14" xfId="2" applyNumberFormat="1" applyFont="1" applyFill="1" applyBorder="1" applyAlignment="1" applyProtection="1">
      <alignment horizontal="center" vertical="center"/>
    </xf>
    <xf numFmtId="169" fontId="20" fillId="5" borderId="15" xfId="2" applyNumberFormat="1" applyFont="1" applyFill="1" applyBorder="1" applyAlignment="1" applyProtection="1">
      <alignment horizontal="center" vertical="center"/>
    </xf>
    <xf numFmtId="169" fontId="20" fillId="5" borderId="2" xfId="2" applyNumberFormat="1" applyFont="1" applyFill="1" applyBorder="1" applyAlignment="1" applyProtection="1">
      <alignment horizontal="center" vertical="center"/>
    </xf>
    <xf numFmtId="169" fontId="20" fillId="5" borderId="16" xfId="2" applyNumberFormat="1" applyFont="1" applyFill="1" applyBorder="1" applyAlignment="1" applyProtection="1">
      <alignment horizontal="center" vertical="center"/>
    </xf>
    <xf numFmtId="169" fontId="18" fillId="5" borderId="16" xfId="2" applyNumberFormat="1" applyFont="1" applyFill="1" applyBorder="1" applyAlignment="1" applyProtection="1">
      <alignment horizontal="center" vertical="center"/>
    </xf>
    <xf numFmtId="169" fontId="18" fillId="5" borderId="15" xfId="2" applyNumberFormat="1" applyFont="1" applyFill="1" applyBorder="1" applyAlignment="1" applyProtection="1">
      <alignment horizontal="center" vertical="center"/>
    </xf>
    <xf numFmtId="169" fontId="18" fillId="5" borderId="2" xfId="2" applyNumberFormat="1" applyFont="1" applyFill="1" applyBorder="1" applyAlignment="1" applyProtection="1">
      <alignment horizontal="center" vertical="center"/>
    </xf>
    <xf numFmtId="2" fontId="9" fillId="5" borderId="2" xfId="0" applyNumberFormat="1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left" vertical="center" wrapText="1"/>
    </xf>
    <xf numFmtId="168" fontId="9" fillId="5" borderId="2" xfId="0" applyNumberFormat="1" applyFont="1" applyFill="1" applyBorder="1" applyAlignment="1">
      <alignment horizontal="center" vertical="center" wrapText="1"/>
    </xf>
    <xf numFmtId="168" fontId="16" fillId="5" borderId="2" xfId="0" applyNumberFormat="1" applyFont="1" applyFill="1" applyBorder="1" applyAlignment="1">
      <alignment horizontal="center" vertical="center"/>
    </xf>
    <xf numFmtId="0" fontId="9" fillId="5" borderId="0" xfId="0" applyFont="1" applyFill="1"/>
    <xf numFmtId="0" fontId="10" fillId="5" borderId="2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left" vertical="center" wrapText="1"/>
    </xf>
    <xf numFmtId="170" fontId="10" fillId="5" borderId="2" xfId="0" applyNumberFormat="1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2" fontId="10" fillId="5" borderId="2" xfId="0" applyNumberFormat="1" applyFont="1" applyFill="1" applyBorder="1" applyAlignment="1">
      <alignment horizontal="center" vertical="center" wrapText="1"/>
    </xf>
    <xf numFmtId="0" fontId="9" fillId="5" borderId="2" xfId="0" applyNumberFormat="1" applyFont="1" applyFill="1" applyBorder="1" applyAlignment="1">
      <alignment horizontal="center" vertical="center" wrapText="1"/>
    </xf>
    <xf numFmtId="170" fontId="10" fillId="5" borderId="2" xfId="0" applyNumberFormat="1" applyFont="1" applyFill="1" applyBorder="1" applyAlignment="1">
      <alignment horizontal="center" vertical="center"/>
    </xf>
    <xf numFmtId="0" fontId="9" fillId="5" borderId="2" xfId="0" applyNumberFormat="1" applyFont="1" applyFill="1" applyBorder="1" applyAlignment="1">
      <alignment horizontal="center" vertical="center"/>
    </xf>
    <xf numFmtId="170" fontId="9" fillId="5" borderId="2" xfId="0" applyNumberFormat="1" applyFont="1" applyFill="1" applyBorder="1" applyAlignment="1">
      <alignment horizontal="center" vertical="center"/>
    </xf>
    <xf numFmtId="170" fontId="9" fillId="5" borderId="2" xfId="0" applyNumberFormat="1" applyFont="1" applyFill="1" applyBorder="1" applyAlignment="1">
      <alignment horizontal="center" vertical="center" wrapText="1"/>
    </xf>
    <xf numFmtId="1" fontId="9" fillId="5" borderId="2" xfId="0" applyNumberFormat="1" applyFont="1" applyFill="1" applyBorder="1" applyAlignment="1">
      <alignment horizontal="center" vertical="center" wrapText="1"/>
    </xf>
    <xf numFmtId="1" fontId="9" fillId="5" borderId="2" xfId="0" applyNumberFormat="1" applyFont="1" applyFill="1" applyBorder="1" applyAlignment="1">
      <alignment horizontal="center" vertical="center"/>
    </xf>
    <xf numFmtId="0" fontId="9" fillId="5" borderId="0" xfId="0" applyFont="1" applyFill="1" applyBorder="1"/>
    <xf numFmtId="0" fontId="9" fillId="5" borderId="8" xfId="0" applyFont="1" applyFill="1" applyBorder="1"/>
    <xf numFmtId="0" fontId="9" fillId="5" borderId="1" xfId="0" applyFont="1" applyFill="1" applyBorder="1"/>
    <xf numFmtId="0" fontId="9" fillId="5" borderId="10" xfId="0" applyFont="1" applyFill="1" applyBorder="1"/>
    <xf numFmtId="168" fontId="10" fillId="5" borderId="0" xfId="0" applyNumberFormat="1" applyFont="1" applyFill="1" applyAlignment="1">
      <alignment horizontal="center" vertical="center"/>
    </xf>
    <xf numFmtId="168" fontId="9" fillId="5" borderId="0" xfId="0" applyNumberFormat="1" applyFont="1" applyFill="1" applyAlignment="1">
      <alignment horizontal="center" vertical="center"/>
    </xf>
    <xf numFmtId="168" fontId="10" fillId="5" borderId="0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 wrapText="1"/>
    </xf>
    <xf numFmtId="2" fontId="9" fillId="5" borderId="2" xfId="0" applyNumberFormat="1" applyFont="1" applyFill="1" applyBorder="1" applyAlignment="1">
      <alignment horizontal="center" vertical="center"/>
    </xf>
    <xf numFmtId="168" fontId="9" fillId="5" borderId="2" xfId="0" applyNumberFormat="1" applyFont="1" applyFill="1" applyBorder="1" applyAlignment="1">
      <alignment horizontal="center" vertical="center"/>
    </xf>
    <xf numFmtId="3" fontId="9" fillId="5" borderId="2" xfId="0" applyNumberFormat="1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vertical="top" wrapText="1"/>
    </xf>
    <xf numFmtId="167" fontId="9" fillId="5" borderId="2" xfId="0" applyNumberFormat="1" applyFont="1" applyFill="1" applyBorder="1" applyAlignment="1">
      <alignment horizontal="center" vertical="center" wrapText="1"/>
    </xf>
    <xf numFmtId="0" fontId="9" fillId="5" borderId="2" xfId="0" applyFont="1" applyFill="1" applyBorder="1"/>
    <xf numFmtId="172" fontId="9" fillId="5" borderId="2" xfId="0" applyNumberFormat="1" applyFont="1" applyFill="1" applyBorder="1" applyAlignment="1">
      <alignment horizontal="center" vertical="center"/>
    </xf>
    <xf numFmtId="4" fontId="9" fillId="5" borderId="2" xfId="0" applyNumberFormat="1" applyFont="1" applyFill="1" applyBorder="1" applyAlignment="1">
      <alignment horizontal="center" vertical="center" wrapText="1"/>
    </xf>
    <xf numFmtId="3" fontId="9" fillId="5" borderId="2" xfId="0" applyNumberFormat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vertical="center" wrapText="1"/>
    </xf>
    <xf numFmtId="3" fontId="10" fillId="5" borderId="2" xfId="0" applyNumberFormat="1" applyFont="1" applyFill="1" applyBorder="1" applyAlignment="1">
      <alignment horizontal="center" vertical="center"/>
    </xf>
    <xf numFmtId="4" fontId="9" fillId="5" borderId="2" xfId="0" applyNumberFormat="1" applyFont="1" applyFill="1" applyBorder="1" applyAlignment="1">
      <alignment horizontal="center" vertical="center"/>
    </xf>
    <xf numFmtId="165" fontId="9" fillId="5" borderId="2" xfId="0" applyNumberFormat="1" applyFont="1" applyFill="1" applyBorder="1" applyAlignment="1">
      <alignment horizontal="center" vertical="center"/>
    </xf>
    <xf numFmtId="166" fontId="9" fillId="5" borderId="2" xfId="0" applyNumberFormat="1" applyFont="1" applyFill="1" applyBorder="1" applyAlignment="1">
      <alignment horizontal="center" vertical="center"/>
    </xf>
    <xf numFmtId="1" fontId="9" fillId="5" borderId="2" xfId="0" applyNumberFormat="1" applyFont="1" applyFill="1" applyBorder="1" applyAlignment="1">
      <alignment horizontal="left" vertical="center" wrapText="1"/>
    </xf>
    <xf numFmtId="4" fontId="10" fillId="5" borderId="2" xfId="0" applyNumberFormat="1" applyFont="1" applyFill="1" applyBorder="1" applyAlignment="1">
      <alignment horizontal="center" vertical="center"/>
    </xf>
    <xf numFmtId="49" fontId="9" fillId="5" borderId="2" xfId="0" applyNumberFormat="1" applyFont="1" applyFill="1" applyBorder="1" applyAlignment="1">
      <alignment horizontal="center" vertical="center"/>
    </xf>
    <xf numFmtId="0" fontId="9" fillId="5" borderId="0" xfId="0" applyNumberFormat="1" applyFont="1" applyFill="1"/>
    <xf numFmtId="0" fontId="10" fillId="5" borderId="0" xfId="0" applyFont="1" applyFill="1" applyAlignment="1">
      <alignment vertical="center"/>
    </xf>
    <xf numFmtId="0" fontId="10" fillId="5" borderId="0" xfId="0" applyFont="1" applyFill="1" applyBorder="1" applyAlignment="1"/>
    <xf numFmtId="0" fontId="10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0" xfId="0" applyNumberFormat="1" applyFont="1" applyFill="1" applyAlignment="1">
      <alignment horizontal="center" vertical="top"/>
    </xf>
    <xf numFmtId="0" fontId="9" fillId="5" borderId="2" xfId="0" applyNumberFormat="1" applyFont="1" applyFill="1" applyBorder="1" applyAlignment="1">
      <alignment horizontal="center" vertical="top"/>
    </xf>
    <xf numFmtId="0" fontId="9" fillId="5" borderId="2" xfId="0" applyFont="1" applyFill="1" applyBorder="1" applyAlignment="1">
      <alignment horizontal="left" wrapText="1"/>
    </xf>
    <xf numFmtId="49" fontId="9" fillId="5" borderId="2" xfId="0" applyNumberFormat="1" applyFont="1" applyFill="1" applyBorder="1"/>
    <xf numFmtId="0" fontId="9" fillId="5" borderId="2" xfId="0" applyFont="1" applyFill="1" applyBorder="1" applyAlignment="1">
      <alignment horizontal="left" vertical="top" wrapText="1"/>
    </xf>
    <xf numFmtId="0" fontId="9" fillId="5" borderId="2" xfId="0" applyNumberFormat="1" applyFont="1" applyFill="1" applyBorder="1"/>
    <xf numFmtId="0" fontId="10" fillId="5" borderId="2" xfId="0" applyFont="1" applyFill="1" applyBorder="1" applyAlignment="1">
      <alignment horizontal="left" vertical="center" wrapText="1"/>
    </xf>
    <xf numFmtId="0" fontId="9" fillId="5" borderId="2" xfId="0" applyNumberFormat="1" applyFont="1" applyFill="1" applyBorder="1" applyAlignment="1">
      <alignment vertical="top"/>
    </xf>
    <xf numFmtId="0" fontId="10" fillId="5" borderId="2" xfId="0" applyFont="1" applyFill="1" applyBorder="1" applyAlignment="1">
      <alignment vertical="center" wrapText="1"/>
    </xf>
    <xf numFmtId="3" fontId="10" fillId="5" borderId="2" xfId="0" applyNumberFormat="1" applyFont="1" applyFill="1" applyBorder="1" applyAlignment="1">
      <alignment horizontal="center" vertical="center" wrapText="1"/>
    </xf>
    <xf numFmtId="165" fontId="9" fillId="5" borderId="2" xfId="0" applyNumberFormat="1" applyFont="1" applyFill="1" applyBorder="1" applyAlignment="1">
      <alignment horizontal="center" vertical="center" wrapText="1"/>
    </xf>
    <xf numFmtId="0" fontId="12" fillId="5" borderId="2" xfId="0" applyNumberFormat="1" applyFont="1" applyFill="1" applyBorder="1" applyAlignment="1">
      <alignment vertical="top"/>
    </xf>
    <xf numFmtId="14" fontId="9" fillId="5" borderId="2" xfId="0" applyNumberFormat="1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wrapText="1"/>
    </xf>
    <xf numFmtId="49" fontId="9" fillId="5" borderId="2" xfId="0" applyNumberFormat="1" applyFont="1" applyFill="1" applyBorder="1" applyAlignment="1">
      <alignment horizontal="center" vertical="top"/>
    </xf>
    <xf numFmtId="0" fontId="9" fillId="5" borderId="2" xfId="0" applyFont="1" applyFill="1" applyBorder="1" applyAlignment="1">
      <alignment horizontal="center"/>
    </xf>
    <xf numFmtId="171" fontId="9" fillId="5" borderId="2" xfId="0" applyNumberFormat="1" applyFont="1" applyFill="1" applyBorder="1" applyAlignment="1">
      <alignment horizontal="center" vertical="center"/>
    </xf>
    <xf numFmtId="0" fontId="12" fillId="5" borderId="2" xfId="0" applyNumberFormat="1" applyFont="1" applyFill="1" applyBorder="1" applyAlignment="1">
      <alignment horizontal="center" vertical="top"/>
    </xf>
    <xf numFmtId="0" fontId="9" fillId="5" borderId="2" xfId="0" applyFont="1" applyFill="1" applyBorder="1" applyAlignment="1">
      <alignment horizontal="center" wrapText="1"/>
    </xf>
    <xf numFmtId="0" fontId="11" fillId="5" borderId="2" xfId="0" applyFont="1" applyFill="1" applyBorder="1" applyAlignment="1">
      <alignment vertical="center" wrapText="1"/>
    </xf>
    <xf numFmtId="0" fontId="9" fillId="5" borderId="2" xfId="0" applyNumberFormat="1" applyFont="1" applyFill="1" applyBorder="1" applyAlignment="1">
      <alignment horizontal="center" vertical="top" wrapText="1"/>
    </xf>
    <xf numFmtId="14" fontId="9" fillId="5" borderId="2" xfId="0" applyNumberFormat="1" applyFont="1" applyFill="1" applyBorder="1" applyAlignment="1">
      <alignment horizontal="center" vertical="top"/>
    </xf>
    <xf numFmtId="0" fontId="9" fillId="5" borderId="2" xfId="0" applyNumberFormat="1" applyFont="1" applyFill="1" applyBorder="1" applyAlignment="1">
      <alignment horizontal="left"/>
    </xf>
    <xf numFmtId="0" fontId="9" fillId="5" borderId="2" xfId="0" applyNumberFormat="1" applyFont="1" applyFill="1" applyBorder="1" applyAlignment="1"/>
    <xf numFmtId="0" fontId="12" fillId="5" borderId="2" xfId="0" applyFont="1" applyFill="1" applyBorder="1" applyAlignment="1">
      <alignment vertical="top" wrapText="1"/>
    </xf>
    <xf numFmtId="0" fontId="10" fillId="5" borderId="7" xfId="0" applyFont="1" applyFill="1" applyBorder="1" applyAlignment="1">
      <alignment vertical="top" wrapText="1"/>
    </xf>
    <xf numFmtId="0" fontId="9" fillId="5" borderId="0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9" fillId="5" borderId="9" xfId="0" applyFont="1" applyFill="1" applyBorder="1" applyAlignment="1">
      <alignment vertical="top" wrapText="1"/>
    </xf>
    <xf numFmtId="0" fontId="9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9" fillId="5" borderId="0" xfId="0" applyFont="1" applyFill="1" applyAlignment="1">
      <alignment horizontal="center"/>
    </xf>
    <xf numFmtId="0" fontId="10" fillId="5" borderId="0" xfId="0" applyFont="1" applyFill="1" applyAlignment="1">
      <alignment horizontal="center"/>
    </xf>
    <xf numFmtId="0" fontId="7" fillId="0" borderId="0" xfId="0" applyFont="1" applyFill="1" applyBorder="1" applyAlignment="1"/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center" vertical="center"/>
    </xf>
    <xf numFmtId="0" fontId="4" fillId="0" borderId="0" xfId="0" applyFont="1"/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0" fontId="28" fillId="0" borderId="0" xfId="0" applyFont="1" applyAlignment="1">
      <alignment horizontal="right" vertical="center"/>
    </xf>
    <xf numFmtId="0" fontId="4" fillId="0" borderId="0" xfId="0" applyFont="1" applyAlignment="1">
      <alignment horizontal="left" wrapText="1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5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66" fontId="5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49" fontId="4" fillId="0" borderId="7" xfId="0" applyNumberFormat="1" applyFont="1" applyFill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horizontal="left" vertical="top" wrapText="1"/>
    </xf>
    <xf numFmtId="49" fontId="4" fillId="0" borderId="9" xfId="0" applyNumberFormat="1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left" vertical="top" wrapText="1"/>
    </xf>
    <xf numFmtId="166" fontId="23" fillId="4" borderId="2" xfId="0" applyNumberFormat="1" applyFont="1" applyFill="1" applyBorder="1" applyAlignment="1">
      <alignment horizontal="center" vertical="center" wrapText="1"/>
    </xf>
    <xf numFmtId="166" fontId="5" fillId="0" borderId="13" xfId="0" applyNumberFormat="1" applyFont="1" applyFill="1" applyBorder="1" applyAlignment="1">
      <alignment horizontal="center" vertical="center" wrapText="1"/>
    </xf>
    <xf numFmtId="166" fontId="5" fillId="0" borderId="17" xfId="0" applyNumberFormat="1" applyFont="1" applyFill="1" applyBorder="1" applyAlignment="1">
      <alignment horizontal="center" vertical="center" wrapText="1"/>
    </xf>
    <xf numFmtId="166" fontId="5" fillId="0" borderId="15" xfId="0" applyNumberFormat="1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left" vertical="center" wrapText="1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/>
    </xf>
    <xf numFmtId="0" fontId="10" fillId="5" borderId="3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left" vertical="top" wrapText="1"/>
    </xf>
    <xf numFmtId="0" fontId="12" fillId="5" borderId="4" xfId="0" applyFont="1" applyFill="1" applyBorder="1" applyAlignment="1">
      <alignment horizontal="left" vertical="top" wrapText="1"/>
    </xf>
    <xf numFmtId="0" fontId="12" fillId="5" borderId="5" xfId="0" applyFont="1" applyFill="1" applyBorder="1" applyAlignment="1">
      <alignment horizontal="left" vertical="top" wrapText="1"/>
    </xf>
    <xf numFmtId="0" fontId="12" fillId="5" borderId="6" xfId="0" applyFont="1" applyFill="1" applyBorder="1" applyAlignment="1">
      <alignment horizontal="left" vertical="top" wrapText="1"/>
    </xf>
    <xf numFmtId="0" fontId="9" fillId="5" borderId="2" xfId="0" applyFont="1" applyFill="1" applyBorder="1" applyAlignment="1">
      <alignment horizontal="left" wrapText="1"/>
    </xf>
    <xf numFmtId="0" fontId="10" fillId="5" borderId="2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2" fontId="9" fillId="5" borderId="2" xfId="0" applyNumberFormat="1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left" vertical="center" wrapText="1"/>
    </xf>
    <xf numFmtId="0" fontId="9" fillId="5" borderId="12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0" fontId="17" fillId="0" borderId="3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1" xr:uid="{00000000-0005-0000-0000-000001000000}"/>
    <cellStyle name="Финансовый" xfId="2" builtinId="3"/>
    <cellStyle name="Хороший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5"/>
  <sheetViews>
    <sheetView topLeftCell="A85" zoomScaleNormal="100" workbookViewId="0">
      <selection activeCell="B99" sqref="B99:K101"/>
    </sheetView>
  </sheetViews>
  <sheetFormatPr defaultColWidth="9.140625" defaultRowHeight="15" x14ac:dyDescent="0.25"/>
  <cols>
    <col min="1" max="1" width="4.42578125" style="1" customWidth="1"/>
    <col min="2" max="2" width="34.7109375" style="95" customWidth="1"/>
    <col min="3" max="3" width="22.85546875" style="8" customWidth="1"/>
    <col min="4" max="4" width="14" style="8" customWidth="1"/>
    <col min="5" max="5" width="13" style="22" customWidth="1"/>
    <col min="6" max="6" width="10.7109375" style="22" customWidth="1"/>
    <col min="7" max="7" width="13.28515625" style="22" customWidth="1"/>
    <col min="8" max="8" width="14.85546875" style="23" customWidth="1"/>
    <col min="9" max="9" width="11.42578125" style="23" customWidth="1"/>
    <col min="10" max="10" width="13.140625" style="23" customWidth="1"/>
    <col min="11" max="11" width="13.85546875" style="23" customWidth="1"/>
    <col min="12" max="12" width="13.5703125" style="23" customWidth="1"/>
    <col min="13" max="13" width="17.140625" style="24" customWidth="1"/>
    <col min="14" max="14" width="32.140625" style="136" customWidth="1"/>
    <col min="15" max="16" width="9.140625" style="106"/>
    <col min="17" max="16384" width="9.140625" style="103"/>
  </cols>
  <sheetData>
    <row r="1" spans="1:16" ht="15.75" x14ac:dyDescent="0.25">
      <c r="B1" s="256" t="s">
        <v>220</v>
      </c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</row>
    <row r="2" spans="1:16" x14ac:dyDescent="0.25">
      <c r="B2" s="257" t="s">
        <v>503</v>
      </c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</row>
    <row r="3" spans="1:16" x14ac:dyDescent="0.25">
      <c r="B3" s="240" t="s">
        <v>221</v>
      </c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</row>
    <row r="4" spans="1:16" ht="15.75" x14ac:dyDescent="0.25">
      <c r="A4" s="5"/>
      <c r="B4" s="258" t="s">
        <v>37</v>
      </c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</row>
    <row r="5" spans="1:16" s="104" customFormat="1" ht="15.75" x14ac:dyDescent="0.25">
      <c r="A5" s="5"/>
      <c r="B5" s="3"/>
      <c r="C5" s="30"/>
      <c r="D5" s="30"/>
      <c r="E5" s="31"/>
      <c r="F5" s="31"/>
      <c r="G5" s="31"/>
      <c r="H5" s="26"/>
      <c r="I5" s="26"/>
      <c r="J5" s="26"/>
      <c r="K5" s="26"/>
      <c r="L5" s="26"/>
      <c r="M5" s="114"/>
      <c r="N5" s="130"/>
      <c r="O5" s="26"/>
      <c r="P5" s="26"/>
    </row>
    <row r="6" spans="1:16" s="104" customFormat="1" x14ac:dyDescent="0.25">
      <c r="A6" s="3"/>
      <c r="B6" s="254" t="s">
        <v>0</v>
      </c>
      <c r="C6" s="253" t="s">
        <v>1</v>
      </c>
      <c r="D6" s="253" t="s">
        <v>2</v>
      </c>
      <c r="E6" s="253" t="s">
        <v>3</v>
      </c>
      <c r="F6" s="253"/>
      <c r="G6" s="253"/>
      <c r="H6" s="253"/>
      <c r="I6" s="253" t="s">
        <v>4</v>
      </c>
      <c r="J6" s="253"/>
      <c r="K6" s="253"/>
      <c r="L6" s="253"/>
      <c r="M6" s="254" t="s">
        <v>11</v>
      </c>
      <c r="N6" s="254" t="s">
        <v>10</v>
      </c>
      <c r="O6" s="26"/>
      <c r="P6" s="26"/>
    </row>
    <row r="7" spans="1:16" s="104" customFormat="1" x14ac:dyDescent="0.25">
      <c r="A7" s="3"/>
      <c r="B7" s="254"/>
      <c r="C7" s="253"/>
      <c r="D7" s="253"/>
      <c r="E7" s="253" t="s">
        <v>5</v>
      </c>
      <c r="F7" s="253" t="s">
        <v>6</v>
      </c>
      <c r="G7" s="253"/>
      <c r="H7" s="253"/>
      <c r="I7" s="253" t="s">
        <v>5</v>
      </c>
      <c r="J7" s="253" t="s">
        <v>6</v>
      </c>
      <c r="K7" s="253"/>
      <c r="L7" s="253"/>
      <c r="M7" s="254"/>
      <c r="N7" s="254"/>
      <c r="O7" s="26"/>
      <c r="P7" s="26"/>
    </row>
    <row r="8" spans="1:16" s="104" customFormat="1" ht="28.5" x14ac:dyDescent="0.25">
      <c r="A8" s="7"/>
      <c r="B8" s="254"/>
      <c r="C8" s="253"/>
      <c r="D8" s="253"/>
      <c r="E8" s="253"/>
      <c r="F8" s="32" t="s">
        <v>7</v>
      </c>
      <c r="G8" s="32" t="s">
        <v>9</v>
      </c>
      <c r="H8" s="32" t="s">
        <v>8</v>
      </c>
      <c r="I8" s="253"/>
      <c r="J8" s="32" t="s">
        <v>7</v>
      </c>
      <c r="K8" s="32" t="s">
        <v>9</v>
      </c>
      <c r="L8" s="32" t="s">
        <v>8</v>
      </c>
      <c r="M8" s="254"/>
      <c r="N8" s="254"/>
      <c r="O8" s="26"/>
      <c r="P8" s="26"/>
    </row>
    <row r="9" spans="1:16" s="104" customFormat="1" x14ac:dyDescent="0.25">
      <c r="A9" s="3"/>
      <c r="B9" s="92">
        <v>1</v>
      </c>
      <c r="C9" s="33">
        <v>2</v>
      </c>
      <c r="D9" s="33">
        <v>3</v>
      </c>
      <c r="E9" s="34">
        <v>4</v>
      </c>
      <c r="F9" s="34">
        <v>5</v>
      </c>
      <c r="G9" s="34">
        <v>6</v>
      </c>
      <c r="H9" s="34">
        <v>7</v>
      </c>
      <c r="I9" s="34">
        <v>8</v>
      </c>
      <c r="J9" s="34">
        <v>9</v>
      </c>
      <c r="K9" s="34">
        <v>10</v>
      </c>
      <c r="L9" s="34">
        <v>11</v>
      </c>
      <c r="M9" s="115">
        <v>12</v>
      </c>
      <c r="N9" s="131">
        <v>13</v>
      </c>
      <c r="O9" s="26"/>
      <c r="P9" s="26"/>
    </row>
    <row r="10" spans="1:16" x14ac:dyDescent="0.25">
      <c r="A10" s="4"/>
      <c r="B10" s="252" t="s">
        <v>38</v>
      </c>
      <c r="C10" s="252"/>
      <c r="D10" s="252"/>
      <c r="E10" s="252"/>
      <c r="F10" s="252"/>
      <c r="G10" s="252"/>
      <c r="H10" s="252"/>
      <c r="I10" s="252"/>
      <c r="J10" s="252"/>
      <c r="K10" s="252"/>
      <c r="L10" s="252"/>
      <c r="M10" s="252"/>
      <c r="N10" s="252"/>
      <c r="O10" s="28"/>
      <c r="P10" s="28"/>
    </row>
    <row r="11" spans="1:16" ht="25.5" x14ac:dyDescent="0.25">
      <c r="A11" s="53" t="s">
        <v>42</v>
      </c>
      <c r="B11" s="54" t="s">
        <v>43</v>
      </c>
      <c r="C11" s="96"/>
      <c r="D11" s="55"/>
      <c r="E11" s="56">
        <f>SUM(F11:H11)</f>
        <v>45138.58</v>
      </c>
      <c r="F11" s="56">
        <f>F12+F16+F17+F18+F19+F20+F21+F26+F30</f>
        <v>0</v>
      </c>
      <c r="G11" s="56">
        <f t="shared" ref="G11:H11" si="0">G12+G16+G17+G18+G19+G20+G21+G26+G30</f>
        <v>4050.58</v>
      </c>
      <c r="H11" s="56">
        <f t="shared" si="0"/>
        <v>41088</v>
      </c>
      <c r="I11" s="56">
        <f>I12+I16+I17+I18+I19+I20+I21+I26+I30</f>
        <v>35755.980000000003</v>
      </c>
      <c r="J11" s="56">
        <f>J12+J16+J17+J18+J19+J20+J21+J26+J30</f>
        <v>9489.8200000000015</v>
      </c>
      <c r="K11" s="56">
        <f t="shared" ref="K11:L11" si="1">K12+K16+K17+K18+K19+K20+K21+K26+K30</f>
        <v>1938.06</v>
      </c>
      <c r="L11" s="56">
        <f t="shared" si="1"/>
        <v>24328.100000000002</v>
      </c>
      <c r="M11" s="126"/>
      <c r="N11" s="126"/>
      <c r="O11" s="28"/>
      <c r="P11" s="28"/>
    </row>
    <row r="12" spans="1:16" ht="86.45" customHeight="1" x14ac:dyDescent="0.25">
      <c r="A12" s="53" t="s">
        <v>44</v>
      </c>
      <c r="B12" s="54" t="s">
        <v>45</v>
      </c>
      <c r="C12" s="96"/>
      <c r="D12" s="55"/>
      <c r="E12" s="56">
        <f t="shared" ref="E12:E75" si="2">SUM(F12:H12)</f>
        <v>29974.78</v>
      </c>
      <c r="F12" s="57">
        <f>SUM(F13:F15)</f>
        <v>0</v>
      </c>
      <c r="G12" s="57">
        <f t="shared" ref="G12:H12" si="3">SUM(G13:G15)</f>
        <v>0</v>
      </c>
      <c r="H12" s="57">
        <f t="shared" si="3"/>
        <v>29974.78</v>
      </c>
      <c r="I12" s="60">
        <f>I13+I14+I15</f>
        <v>22734.41</v>
      </c>
      <c r="J12" s="149">
        <f>J13+J14+J15</f>
        <v>5665.1</v>
      </c>
      <c r="K12" s="149">
        <f t="shared" ref="K12:L12" si="4">K13+K14+K15</f>
        <v>0</v>
      </c>
      <c r="L12" s="149">
        <f t="shared" si="4"/>
        <v>17069.310000000001</v>
      </c>
      <c r="M12" s="113" t="s">
        <v>416</v>
      </c>
      <c r="N12" s="128" t="s">
        <v>416</v>
      </c>
      <c r="O12" s="28"/>
      <c r="P12" s="28"/>
    </row>
    <row r="13" spans="1:16" ht="25.5" x14ac:dyDescent="0.25">
      <c r="A13" s="62"/>
      <c r="B13" s="63" t="s">
        <v>46</v>
      </c>
      <c r="C13" s="97" t="s">
        <v>47</v>
      </c>
      <c r="D13" s="64" t="s">
        <v>48</v>
      </c>
      <c r="E13" s="65">
        <f t="shared" si="2"/>
        <v>15095.59</v>
      </c>
      <c r="F13" s="66">
        <v>0</v>
      </c>
      <c r="G13" s="67">
        <v>0</v>
      </c>
      <c r="H13" s="68">
        <v>15095.59</v>
      </c>
      <c r="I13" s="69">
        <f>SUM(J13:L13)</f>
        <v>10137.68</v>
      </c>
      <c r="J13" s="70">
        <v>4208.01</v>
      </c>
      <c r="K13" s="71">
        <v>0</v>
      </c>
      <c r="L13" s="72">
        <f>3865.89+2063.78</f>
        <v>5929.67</v>
      </c>
      <c r="M13" s="140" t="s">
        <v>413</v>
      </c>
      <c r="N13" s="128" t="s">
        <v>416</v>
      </c>
      <c r="O13" s="28"/>
      <c r="P13" s="28"/>
    </row>
    <row r="14" spans="1:16" ht="25.5" x14ac:dyDescent="0.25">
      <c r="A14" s="62"/>
      <c r="B14" s="63" t="s">
        <v>49</v>
      </c>
      <c r="C14" s="97" t="s">
        <v>47</v>
      </c>
      <c r="D14" s="64" t="s">
        <v>48</v>
      </c>
      <c r="E14" s="65">
        <f t="shared" si="2"/>
        <v>9033.61</v>
      </c>
      <c r="F14" s="66">
        <v>0</v>
      </c>
      <c r="G14" s="67">
        <v>0</v>
      </c>
      <c r="H14" s="68">
        <v>9033.61</v>
      </c>
      <c r="I14" s="69">
        <f t="shared" ref="I14:I77" si="5">SUM(J14:L14)</f>
        <v>8732.2000000000007</v>
      </c>
      <c r="J14" s="70">
        <v>0</v>
      </c>
      <c r="K14" s="71">
        <v>0</v>
      </c>
      <c r="L14" s="72">
        <v>8732.2000000000007</v>
      </c>
      <c r="M14" s="116" t="s">
        <v>415</v>
      </c>
      <c r="N14" s="128" t="s">
        <v>416</v>
      </c>
      <c r="O14" s="28"/>
      <c r="P14" s="28"/>
    </row>
    <row r="15" spans="1:16" ht="25.5" x14ac:dyDescent="0.25">
      <c r="A15" s="62"/>
      <c r="B15" s="73" t="s">
        <v>50</v>
      </c>
      <c r="C15" s="97" t="s">
        <v>47</v>
      </c>
      <c r="D15" s="64" t="s">
        <v>48</v>
      </c>
      <c r="E15" s="65">
        <f t="shared" si="2"/>
        <v>5845.58</v>
      </c>
      <c r="F15" s="66">
        <v>0</v>
      </c>
      <c r="G15" s="67">
        <v>0</v>
      </c>
      <c r="H15" s="68">
        <v>5845.58</v>
      </c>
      <c r="I15" s="69">
        <f t="shared" si="5"/>
        <v>3864.5299999999997</v>
      </c>
      <c r="J15" s="70">
        <v>1457.09</v>
      </c>
      <c r="K15" s="71">
        <v>0</v>
      </c>
      <c r="L15" s="72">
        <f>776.63+1630.81</f>
        <v>2407.44</v>
      </c>
      <c r="M15" s="140" t="s">
        <v>413</v>
      </c>
      <c r="N15" s="128" t="s">
        <v>416</v>
      </c>
      <c r="O15" s="28"/>
      <c r="P15" s="28"/>
    </row>
    <row r="16" spans="1:16" ht="63.75" x14ac:dyDescent="0.25">
      <c r="A16" s="53" t="s">
        <v>51</v>
      </c>
      <c r="B16" s="74" t="s">
        <v>52</v>
      </c>
      <c r="C16" s="96" t="s">
        <v>53</v>
      </c>
      <c r="D16" s="75" t="s">
        <v>48</v>
      </c>
      <c r="E16" s="56">
        <f t="shared" si="2"/>
        <v>350</v>
      </c>
      <c r="F16" s="57">
        <v>0</v>
      </c>
      <c r="G16" s="58">
        <v>0</v>
      </c>
      <c r="H16" s="59">
        <v>350</v>
      </c>
      <c r="I16" s="60">
        <f t="shared" si="5"/>
        <v>1222.93</v>
      </c>
      <c r="J16" s="76">
        <v>0</v>
      </c>
      <c r="K16" s="77">
        <v>0</v>
      </c>
      <c r="L16" s="77">
        <v>1222.93</v>
      </c>
      <c r="M16" s="116" t="s">
        <v>415</v>
      </c>
      <c r="N16" s="128" t="s">
        <v>416</v>
      </c>
      <c r="O16" s="28"/>
      <c r="P16" s="28"/>
    </row>
    <row r="17" spans="1:16" ht="63.75" x14ac:dyDescent="0.25">
      <c r="A17" s="53" t="s">
        <v>54</v>
      </c>
      <c r="B17" s="74" t="s">
        <v>55</v>
      </c>
      <c r="C17" s="96" t="s">
        <v>47</v>
      </c>
      <c r="D17" s="75" t="s">
        <v>56</v>
      </c>
      <c r="E17" s="56">
        <f t="shared" si="2"/>
        <v>0</v>
      </c>
      <c r="F17" s="57">
        <v>0</v>
      </c>
      <c r="G17" s="58">
        <v>0</v>
      </c>
      <c r="H17" s="59">
        <v>0</v>
      </c>
      <c r="I17" s="60">
        <f t="shared" si="5"/>
        <v>2527.36</v>
      </c>
      <c r="J17" s="76">
        <v>0</v>
      </c>
      <c r="K17" s="77">
        <v>0</v>
      </c>
      <c r="L17" s="78">
        <v>2527.36</v>
      </c>
      <c r="M17" s="116" t="s">
        <v>415</v>
      </c>
      <c r="N17" s="128" t="s">
        <v>427</v>
      </c>
      <c r="O17" s="28"/>
      <c r="P17" s="28"/>
    </row>
    <row r="18" spans="1:16" ht="63.75" x14ac:dyDescent="0.25">
      <c r="A18" s="53" t="s">
        <v>57</v>
      </c>
      <c r="B18" s="74" t="s">
        <v>58</v>
      </c>
      <c r="C18" s="96" t="s">
        <v>53</v>
      </c>
      <c r="D18" s="55" t="s">
        <v>48</v>
      </c>
      <c r="E18" s="56">
        <f t="shared" si="2"/>
        <v>2250</v>
      </c>
      <c r="F18" s="57">
        <v>0</v>
      </c>
      <c r="G18" s="58">
        <v>0</v>
      </c>
      <c r="H18" s="59">
        <v>2250</v>
      </c>
      <c r="I18" s="60">
        <f t="shared" si="5"/>
        <v>942.25</v>
      </c>
      <c r="J18" s="76">
        <v>0</v>
      </c>
      <c r="K18" s="77">
        <v>0</v>
      </c>
      <c r="L18" s="78">
        <v>942.25</v>
      </c>
      <c r="M18" s="140" t="s">
        <v>413</v>
      </c>
      <c r="N18" s="128" t="s">
        <v>416</v>
      </c>
      <c r="O18" s="28"/>
      <c r="P18" s="28"/>
    </row>
    <row r="19" spans="1:16" ht="84" x14ac:dyDescent="0.25">
      <c r="A19" s="53" t="s">
        <v>59</v>
      </c>
      <c r="B19" s="74" t="s">
        <v>60</v>
      </c>
      <c r="C19" s="96" t="s">
        <v>61</v>
      </c>
      <c r="D19" s="55" t="s">
        <v>48</v>
      </c>
      <c r="E19" s="56">
        <f t="shared" si="2"/>
        <v>7803.22</v>
      </c>
      <c r="F19" s="57">
        <v>0</v>
      </c>
      <c r="G19" s="58">
        <v>0</v>
      </c>
      <c r="H19" s="59">
        <v>7803.22</v>
      </c>
      <c r="I19" s="60">
        <f>SUM(J19:L19)</f>
        <v>587.63</v>
      </c>
      <c r="J19" s="76">
        <v>0</v>
      </c>
      <c r="K19" s="77">
        <v>0</v>
      </c>
      <c r="L19" s="78">
        <f>481.39+106.24</f>
        <v>587.63</v>
      </c>
      <c r="M19" s="113" t="s">
        <v>413</v>
      </c>
      <c r="N19" s="128" t="s">
        <v>416</v>
      </c>
      <c r="O19" s="28"/>
      <c r="P19" s="28"/>
    </row>
    <row r="20" spans="1:16" ht="63.75" x14ac:dyDescent="0.25">
      <c r="A20" s="53" t="s">
        <v>62</v>
      </c>
      <c r="B20" s="79" t="s">
        <v>63</v>
      </c>
      <c r="C20" s="96" t="s">
        <v>47</v>
      </c>
      <c r="D20" s="75" t="s">
        <v>48</v>
      </c>
      <c r="E20" s="56">
        <f t="shared" si="2"/>
        <v>635</v>
      </c>
      <c r="F20" s="57">
        <v>0</v>
      </c>
      <c r="G20" s="58">
        <v>0</v>
      </c>
      <c r="H20" s="59">
        <v>635</v>
      </c>
      <c r="I20" s="60">
        <f t="shared" si="5"/>
        <v>253.97</v>
      </c>
      <c r="J20" s="76">
        <v>0</v>
      </c>
      <c r="K20" s="77">
        <v>0</v>
      </c>
      <c r="L20" s="78">
        <v>253.97</v>
      </c>
      <c r="M20" s="113" t="s">
        <v>413</v>
      </c>
      <c r="N20" s="128" t="s">
        <v>416</v>
      </c>
      <c r="O20" s="28"/>
      <c r="P20" s="28"/>
    </row>
    <row r="21" spans="1:16" ht="76.5" x14ac:dyDescent="0.25">
      <c r="A21" s="53" t="s">
        <v>64</v>
      </c>
      <c r="B21" s="54" t="s">
        <v>65</v>
      </c>
      <c r="C21" s="98" t="s">
        <v>66</v>
      </c>
      <c r="D21" s="75" t="s">
        <v>67</v>
      </c>
      <c r="E21" s="56">
        <f t="shared" si="2"/>
        <v>2336</v>
      </c>
      <c r="F21" s="57">
        <f>F22+F23+F24+F25</f>
        <v>0</v>
      </c>
      <c r="G21" s="57">
        <f t="shared" ref="G21:H21" si="6">G22+G23+G24+G25</f>
        <v>2336</v>
      </c>
      <c r="H21" s="57">
        <f t="shared" si="6"/>
        <v>0</v>
      </c>
      <c r="I21" s="60">
        <f t="shared" si="5"/>
        <v>6132.4400000000005</v>
      </c>
      <c r="J21" s="76">
        <f>J22+J23+J24+J25</f>
        <v>3818.9500000000003</v>
      </c>
      <c r="K21" s="76">
        <f t="shared" ref="K21:L21" si="7">K22+K23+K24+K25</f>
        <v>842.3</v>
      </c>
      <c r="L21" s="76">
        <f t="shared" si="7"/>
        <v>1471.19</v>
      </c>
      <c r="M21" s="113" t="s">
        <v>416</v>
      </c>
      <c r="N21" s="128" t="s">
        <v>416</v>
      </c>
      <c r="O21" s="28"/>
      <c r="P21" s="28"/>
    </row>
    <row r="22" spans="1:16" ht="89.25" x14ac:dyDescent="0.25">
      <c r="A22" s="62"/>
      <c r="B22" s="63" t="s">
        <v>68</v>
      </c>
      <c r="C22" s="99" t="s">
        <v>69</v>
      </c>
      <c r="D22" s="64" t="s">
        <v>67</v>
      </c>
      <c r="E22" s="65">
        <f t="shared" si="2"/>
        <v>0</v>
      </c>
      <c r="F22" s="66">
        <v>0</v>
      </c>
      <c r="G22" s="67">
        <v>0</v>
      </c>
      <c r="H22" s="68">
        <v>0</v>
      </c>
      <c r="I22" s="69">
        <f t="shared" si="5"/>
        <v>0</v>
      </c>
      <c r="J22" s="70">
        <v>0</v>
      </c>
      <c r="K22" s="71">
        <v>0</v>
      </c>
      <c r="L22" s="72">
        <v>0</v>
      </c>
      <c r="M22" s="116" t="s">
        <v>417</v>
      </c>
      <c r="N22" s="128" t="s">
        <v>416</v>
      </c>
      <c r="O22" s="28"/>
      <c r="P22" s="28"/>
    </row>
    <row r="23" spans="1:16" ht="89.25" x14ac:dyDescent="0.25">
      <c r="A23" s="62"/>
      <c r="B23" s="63" t="s">
        <v>70</v>
      </c>
      <c r="C23" s="100" t="s">
        <v>66</v>
      </c>
      <c r="D23" s="64" t="s">
        <v>67</v>
      </c>
      <c r="E23" s="65">
        <f t="shared" si="2"/>
        <v>0</v>
      </c>
      <c r="F23" s="66">
        <v>0</v>
      </c>
      <c r="G23" s="67">
        <v>0</v>
      </c>
      <c r="H23" s="68">
        <v>0</v>
      </c>
      <c r="I23" s="69">
        <f t="shared" si="5"/>
        <v>0</v>
      </c>
      <c r="J23" s="70">
        <v>0</v>
      </c>
      <c r="K23" s="71">
        <v>0</v>
      </c>
      <c r="L23" s="72">
        <v>0</v>
      </c>
      <c r="M23" s="116" t="s">
        <v>417</v>
      </c>
      <c r="N23" s="128" t="s">
        <v>416</v>
      </c>
      <c r="O23" s="28"/>
      <c r="P23" s="28"/>
    </row>
    <row r="24" spans="1:16" ht="72" x14ac:dyDescent="0.25">
      <c r="A24" s="62"/>
      <c r="B24" s="80" t="s">
        <v>71</v>
      </c>
      <c r="C24" s="99" t="s">
        <v>72</v>
      </c>
      <c r="D24" s="64" t="s">
        <v>67</v>
      </c>
      <c r="E24" s="65">
        <f t="shared" si="2"/>
        <v>0</v>
      </c>
      <c r="F24" s="66">
        <v>0</v>
      </c>
      <c r="G24" s="67">
        <v>0</v>
      </c>
      <c r="H24" s="68">
        <v>0</v>
      </c>
      <c r="I24" s="69">
        <f t="shared" si="5"/>
        <v>0</v>
      </c>
      <c r="J24" s="70">
        <v>0</v>
      </c>
      <c r="K24" s="71">
        <v>0</v>
      </c>
      <c r="L24" s="72">
        <v>0</v>
      </c>
      <c r="M24" s="116" t="s">
        <v>417</v>
      </c>
      <c r="N24" s="128" t="s">
        <v>416</v>
      </c>
      <c r="O24" s="28"/>
      <c r="P24" s="28"/>
    </row>
    <row r="25" spans="1:16" ht="38.25" x14ac:dyDescent="0.25">
      <c r="A25" s="62"/>
      <c r="B25" s="63" t="s">
        <v>73</v>
      </c>
      <c r="C25" s="100" t="s">
        <v>74</v>
      </c>
      <c r="D25" s="64" t="s">
        <v>48</v>
      </c>
      <c r="E25" s="65">
        <f t="shared" si="2"/>
        <v>2336</v>
      </c>
      <c r="F25" s="66">
        <v>0</v>
      </c>
      <c r="G25" s="67">
        <v>2336</v>
      </c>
      <c r="H25" s="68">
        <v>0</v>
      </c>
      <c r="I25" s="69">
        <f>SUM(J25:L25)</f>
        <v>6132.4400000000005</v>
      </c>
      <c r="J25" s="150">
        <f>1218.65+2600.3</f>
        <v>3818.9500000000003</v>
      </c>
      <c r="K25" s="71">
        <v>842.3</v>
      </c>
      <c r="L25" s="152">
        <v>1471.19</v>
      </c>
      <c r="M25" s="116" t="s">
        <v>415</v>
      </c>
      <c r="N25" s="128" t="s">
        <v>560</v>
      </c>
      <c r="O25" s="28"/>
      <c r="P25" s="28"/>
    </row>
    <row r="26" spans="1:16" ht="51" x14ac:dyDescent="0.25">
      <c r="A26" s="53" t="s">
        <v>75</v>
      </c>
      <c r="B26" s="81" t="s">
        <v>76</v>
      </c>
      <c r="C26" s="98" t="s">
        <v>74</v>
      </c>
      <c r="D26" s="75" t="s">
        <v>48</v>
      </c>
      <c r="E26" s="56">
        <f t="shared" si="2"/>
        <v>1714.58</v>
      </c>
      <c r="F26" s="57">
        <f>F27+F28+F29</f>
        <v>0</v>
      </c>
      <c r="G26" s="58">
        <v>1714.58</v>
      </c>
      <c r="H26" s="59">
        <v>0</v>
      </c>
      <c r="I26" s="60">
        <f>I27+I28+I29</f>
        <v>1274.99</v>
      </c>
      <c r="J26" s="76">
        <f>J27+J28+J29</f>
        <v>5.77</v>
      </c>
      <c r="K26" s="76">
        <f>K27+K28+K29</f>
        <v>1095.76</v>
      </c>
      <c r="L26" s="76">
        <f>L27+L28+L29</f>
        <v>173.46</v>
      </c>
      <c r="M26" s="113" t="s">
        <v>416</v>
      </c>
      <c r="N26" s="128" t="s">
        <v>416</v>
      </c>
      <c r="O26" s="28"/>
      <c r="P26" s="28"/>
    </row>
    <row r="27" spans="1:16" ht="38.25" x14ac:dyDescent="0.25">
      <c r="A27" s="62"/>
      <c r="B27" s="63" t="s">
        <v>77</v>
      </c>
      <c r="C27" s="100" t="s">
        <v>74</v>
      </c>
      <c r="D27" s="64" t="s">
        <v>48</v>
      </c>
      <c r="E27" s="65">
        <f t="shared" si="2"/>
        <v>0</v>
      </c>
      <c r="F27" s="66">
        <v>0</v>
      </c>
      <c r="G27" s="67">
        <v>0</v>
      </c>
      <c r="H27" s="68">
        <v>0</v>
      </c>
      <c r="I27" s="69">
        <f t="shared" si="5"/>
        <v>179.23000000000002</v>
      </c>
      <c r="J27" s="150">
        <v>5.77</v>
      </c>
      <c r="K27" s="151">
        <v>0</v>
      </c>
      <c r="L27" s="152">
        <v>173.46</v>
      </c>
      <c r="M27" s="116" t="s">
        <v>417</v>
      </c>
      <c r="N27" s="128" t="s">
        <v>416</v>
      </c>
      <c r="O27" s="28"/>
      <c r="P27" s="28"/>
    </row>
    <row r="28" spans="1:16" ht="51" x14ac:dyDescent="0.25">
      <c r="A28" s="62"/>
      <c r="B28" s="63" t="s">
        <v>78</v>
      </c>
      <c r="C28" s="100" t="s">
        <v>74</v>
      </c>
      <c r="D28" s="64" t="s">
        <v>48</v>
      </c>
      <c r="E28" s="65">
        <f t="shared" si="2"/>
        <v>1714.58</v>
      </c>
      <c r="F28" s="66">
        <v>0</v>
      </c>
      <c r="G28" s="67">
        <v>1714.58</v>
      </c>
      <c r="H28" s="68">
        <v>0</v>
      </c>
      <c r="I28" s="69">
        <f t="shared" si="5"/>
        <v>1095.76</v>
      </c>
      <c r="J28" s="150">
        <v>0</v>
      </c>
      <c r="K28" s="151">
        <v>1095.76</v>
      </c>
      <c r="L28" s="152">
        <v>0</v>
      </c>
      <c r="M28" s="116" t="s">
        <v>415</v>
      </c>
      <c r="N28" s="128" t="s">
        <v>561</v>
      </c>
      <c r="O28" s="28"/>
      <c r="P28" s="28"/>
    </row>
    <row r="29" spans="1:16" ht="51" x14ac:dyDescent="0.25">
      <c r="A29" s="62"/>
      <c r="B29" s="63" t="s">
        <v>79</v>
      </c>
      <c r="C29" s="100" t="s">
        <v>74</v>
      </c>
      <c r="D29" s="64" t="s">
        <v>48</v>
      </c>
      <c r="E29" s="65">
        <f t="shared" si="2"/>
        <v>0</v>
      </c>
      <c r="F29" s="66">
        <v>0</v>
      </c>
      <c r="G29" s="67">
        <v>0</v>
      </c>
      <c r="H29" s="68">
        <v>0</v>
      </c>
      <c r="I29" s="69">
        <f t="shared" si="5"/>
        <v>0</v>
      </c>
      <c r="J29" s="70">
        <v>0</v>
      </c>
      <c r="K29" s="71">
        <v>0</v>
      </c>
      <c r="L29" s="72">
        <v>0</v>
      </c>
      <c r="M29" s="116" t="s">
        <v>417</v>
      </c>
      <c r="N29" s="128" t="s">
        <v>416</v>
      </c>
      <c r="O29" s="28"/>
      <c r="P29" s="28"/>
    </row>
    <row r="30" spans="1:16" ht="89.25" x14ac:dyDescent="0.25">
      <c r="A30" s="53" t="s">
        <v>80</v>
      </c>
      <c r="B30" s="81" t="s">
        <v>81</v>
      </c>
      <c r="C30" s="96" t="s">
        <v>82</v>
      </c>
      <c r="D30" s="55" t="s">
        <v>48</v>
      </c>
      <c r="E30" s="56">
        <f t="shared" si="2"/>
        <v>75</v>
      </c>
      <c r="F30" s="57">
        <v>0</v>
      </c>
      <c r="G30" s="58">
        <v>0</v>
      </c>
      <c r="H30" s="59">
        <v>75</v>
      </c>
      <c r="I30" s="60">
        <f>SUM(J30:L30)</f>
        <v>80</v>
      </c>
      <c r="J30" s="76">
        <v>0</v>
      </c>
      <c r="K30" s="77">
        <v>0</v>
      </c>
      <c r="L30" s="153">
        <v>80</v>
      </c>
      <c r="M30" s="116" t="s">
        <v>415</v>
      </c>
      <c r="N30" s="128" t="s">
        <v>416</v>
      </c>
      <c r="O30" s="28"/>
      <c r="P30" s="28"/>
    </row>
    <row r="31" spans="1:16" ht="51" x14ac:dyDescent="0.25">
      <c r="A31" s="53" t="s">
        <v>83</v>
      </c>
      <c r="B31" s="81" t="s">
        <v>84</v>
      </c>
      <c r="C31" s="96"/>
      <c r="D31" s="55"/>
      <c r="E31" s="56">
        <f t="shared" si="2"/>
        <v>6279.41</v>
      </c>
      <c r="F31" s="56">
        <f>F32+F33+F34+F38+F39</f>
        <v>0</v>
      </c>
      <c r="G31" s="56">
        <f t="shared" ref="G31:H31" si="8">G32+G33+G34+G38+G39</f>
        <v>5523.01</v>
      </c>
      <c r="H31" s="56">
        <f t="shared" si="8"/>
        <v>756.4</v>
      </c>
      <c r="I31" s="60">
        <f>I32+I33+I34+I38+I39</f>
        <v>8753.0300000000007</v>
      </c>
      <c r="J31" s="60">
        <f>J32+J33+J34+J38+J39</f>
        <v>399.98</v>
      </c>
      <c r="K31" s="60">
        <f>K32+K33+K34+K38+K39</f>
        <v>2693.06</v>
      </c>
      <c r="L31" s="60">
        <f>L32+L33+L34+L38+L39</f>
        <v>5659.99</v>
      </c>
      <c r="M31" s="126"/>
      <c r="N31" s="126"/>
      <c r="O31" s="28"/>
      <c r="P31" s="28"/>
    </row>
    <row r="32" spans="1:16" ht="51" x14ac:dyDescent="0.25">
      <c r="A32" s="53" t="s">
        <v>85</v>
      </c>
      <c r="B32" s="81" t="s">
        <v>86</v>
      </c>
      <c r="C32" s="96" t="s">
        <v>87</v>
      </c>
      <c r="D32" s="55" t="s">
        <v>48</v>
      </c>
      <c r="E32" s="56">
        <f t="shared" si="2"/>
        <v>5486.41</v>
      </c>
      <c r="F32" s="57">
        <v>0</v>
      </c>
      <c r="G32" s="58">
        <v>5486.41</v>
      </c>
      <c r="H32" s="59">
        <v>0</v>
      </c>
      <c r="I32" s="60">
        <f t="shared" si="5"/>
        <v>5318.58</v>
      </c>
      <c r="J32" s="154">
        <v>77.099999999999994</v>
      </c>
      <c r="K32" s="77">
        <v>2693.06</v>
      </c>
      <c r="L32" s="153">
        <f>919.52+1628.9</f>
        <v>2548.42</v>
      </c>
      <c r="M32" s="116" t="s">
        <v>415</v>
      </c>
      <c r="N32" s="141"/>
      <c r="O32" s="28"/>
      <c r="P32" s="28"/>
    </row>
    <row r="33" spans="1:16" ht="76.5" x14ac:dyDescent="0.25">
      <c r="A33" s="53" t="s">
        <v>88</v>
      </c>
      <c r="B33" s="81" t="s">
        <v>89</v>
      </c>
      <c r="C33" s="96" t="s">
        <v>74</v>
      </c>
      <c r="D33" s="55" t="s">
        <v>48</v>
      </c>
      <c r="E33" s="56">
        <f t="shared" si="2"/>
        <v>0</v>
      </c>
      <c r="F33" s="57">
        <v>0</v>
      </c>
      <c r="G33" s="58">
        <v>0</v>
      </c>
      <c r="H33" s="59">
        <v>0</v>
      </c>
      <c r="I33" s="60">
        <f t="shared" si="5"/>
        <v>0</v>
      </c>
      <c r="J33" s="76">
        <v>0</v>
      </c>
      <c r="K33" s="77">
        <v>0</v>
      </c>
      <c r="L33" s="78">
        <v>0</v>
      </c>
      <c r="M33" s="116" t="s">
        <v>417</v>
      </c>
      <c r="N33" s="128" t="s">
        <v>416</v>
      </c>
      <c r="O33" s="28"/>
      <c r="P33" s="28"/>
    </row>
    <row r="34" spans="1:16" ht="63.75" x14ac:dyDescent="0.25">
      <c r="A34" s="53" t="s">
        <v>90</v>
      </c>
      <c r="B34" s="82" t="s">
        <v>91</v>
      </c>
      <c r="C34" s="96" t="s">
        <v>92</v>
      </c>
      <c r="D34" s="75" t="s">
        <v>48</v>
      </c>
      <c r="E34" s="56">
        <f t="shared" si="2"/>
        <v>730.9</v>
      </c>
      <c r="F34" s="57">
        <f>SUM(F35:F37)</f>
        <v>0</v>
      </c>
      <c r="G34" s="58">
        <v>0</v>
      </c>
      <c r="H34" s="59">
        <f>H35+H36+H37</f>
        <v>730.9</v>
      </c>
      <c r="I34" s="60">
        <f>I35+I36+I37</f>
        <v>3213.59</v>
      </c>
      <c r="J34" s="61">
        <f>J35+J36+J37</f>
        <v>322.88</v>
      </c>
      <c r="K34" s="61">
        <f t="shared" ref="K34:L34" si="9">K35+K36+K37</f>
        <v>0</v>
      </c>
      <c r="L34" s="61">
        <f t="shared" si="9"/>
        <v>2890.71</v>
      </c>
      <c r="M34" s="113" t="s">
        <v>416</v>
      </c>
      <c r="N34" s="128" t="s">
        <v>416</v>
      </c>
      <c r="O34" s="28"/>
      <c r="P34" s="28"/>
    </row>
    <row r="35" spans="1:16" ht="63.75" x14ac:dyDescent="0.25">
      <c r="A35" s="62"/>
      <c r="B35" s="73" t="s">
        <v>93</v>
      </c>
      <c r="C35" s="97" t="s">
        <v>53</v>
      </c>
      <c r="D35" s="64" t="s">
        <v>48</v>
      </c>
      <c r="E35" s="65">
        <f t="shared" si="2"/>
        <v>396</v>
      </c>
      <c r="F35" s="66">
        <v>0</v>
      </c>
      <c r="G35" s="67">
        <v>0</v>
      </c>
      <c r="H35" s="68">
        <v>396</v>
      </c>
      <c r="I35" s="69">
        <f t="shared" si="5"/>
        <v>715.81000000000006</v>
      </c>
      <c r="J35" s="70">
        <v>54.62</v>
      </c>
      <c r="K35" s="151">
        <v>0</v>
      </c>
      <c r="L35" s="152">
        <v>661.19</v>
      </c>
      <c r="M35" s="116" t="s">
        <v>415</v>
      </c>
      <c r="N35" s="128" t="s">
        <v>416</v>
      </c>
      <c r="O35" s="28"/>
      <c r="P35" s="28"/>
    </row>
    <row r="36" spans="1:16" ht="51" x14ac:dyDescent="0.25">
      <c r="A36" s="62"/>
      <c r="B36" s="83" t="s">
        <v>94</v>
      </c>
      <c r="C36" s="99" t="s">
        <v>92</v>
      </c>
      <c r="D36" s="64" t="s">
        <v>48</v>
      </c>
      <c r="E36" s="65">
        <f t="shared" si="2"/>
        <v>136.9</v>
      </c>
      <c r="F36" s="66">
        <v>0</v>
      </c>
      <c r="G36" s="67">
        <v>0</v>
      </c>
      <c r="H36" s="68">
        <v>136.9</v>
      </c>
      <c r="I36" s="69">
        <f t="shared" si="5"/>
        <v>352.88</v>
      </c>
      <c r="J36" s="150">
        <v>0</v>
      </c>
      <c r="K36" s="151">
        <v>0</v>
      </c>
      <c r="L36" s="152">
        <v>352.88</v>
      </c>
      <c r="M36" s="116" t="s">
        <v>415</v>
      </c>
      <c r="N36" s="128" t="s">
        <v>416</v>
      </c>
      <c r="O36" s="28"/>
      <c r="P36" s="28"/>
    </row>
    <row r="37" spans="1:16" ht="38.25" x14ac:dyDescent="0.25">
      <c r="A37" s="62"/>
      <c r="B37" s="73" t="s">
        <v>95</v>
      </c>
      <c r="C37" s="99" t="s">
        <v>53</v>
      </c>
      <c r="D37" s="64" t="s">
        <v>48</v>
      </c>
      <c r="E37" s="65">
        <f t="shared" si="2"/>
        <v>198</v>
      </c>
      <c r="F37" s="66">
        <v>0</v>
      </c>
      <c r="G37" s="67">
        <v>0</v>
      </c>
      <c r="H37" s="68">
        <v>198</v>
      </c>
      <c r="I37" s="69">
        <f t="shared" si="5"/>
        <v>2144.9</v>
      </c>
      <c r="J37" s="150">
        <v>268.26</v>
      </c>
      <c r="K37" s="151">
        <v>0</v>
      </c>
      <c r="L37" s="152">
        <v>1876.64</v>
      </c>
      <c r="M37" s="116" t="s">
        <v>415</v>
      </c>
      <c r="N37" s="128" t="s">
        <v>416</v>
      </c>
      <c r="O37" s="28"/>
      <c r="P37" s="28"/>
    </row>
    <row r="38" spans="1:16" ht="38.25" x14ac:dyDescent="0.25">
      <c r="A38" s="53" t="s">
        <v>96</v>
      </c>
      <c r="B38" s="54" t="s">
        <v>97</v>
      </c>
      <c r="C38" s="101" t="s">
        <v>74</v>
      </c>
      <c r="D38" s="75" t="s">
        <v>48</v>
      </c>
      <c r="E38" s="56">
        <f t="shared" si="2"/>
        <v>0</v>
      </c>
      <c r="F38" s="57">
        <v>0</v>
      </c>
      <c r="G38" s="58">
        <v>0</v>
      </c>
      <c r="H38" s="59">
        <v>0</v>
      </c>
      <c r="I38" s="60">
        <f>SUM(J38:L38)</f>
        <v>0</v>
      </c>
      <c r="J38" s="76">
        <v>0</v>
      </c>
      <c r="K38" s="77">
        <v>0</v>
      </c>
      <c r="L38" s="78">
        <v>0</v>
      </c>
      <c r="M38" s="116" t="s">
        <v>417</v>
      </c>
      <c r="N38" s="128" t="s">
        <v>416</v>
      </c>
      <c r="O38" s="28"/>
      <c r="P38" s="28"/>
    </row>
    <row r="39" spans="1:16" ht="63.75" x14ac:dyDescent="0.25">
      <c r="A39" s="84" t="s">
        <v>98</v>
      </c>
      <c r="B39" s="85" t="s">
        <v>99</v>
      </c>
      <c r="C39" s="96" t="s">
        <v>92</v>
      </c>
      <c r="D39" s="75" t="s">
        <v>48</v>
      </c>
      <c r="E39" s="56">
        <f t="shared" si="2"/>
        <v>62.1</v>
      </c>
      <c r="F39" s="57">
        <f>F40+F41</f>
        <v>0</v>
      </c>
      <c r="G39" s="58">
        <v>36.6</v>
      </c>
      <c r="H39" s="59">
        <f>H41</f>
        <v>25.5</v>
      </c>
      <c r="I39" s="60">
        <f>SUM(J39:L39)</f>
        <v>220.86</v>
      </c>
      <c r="J39" s="76">
        <f>J40+J41</f>
        <v>0</v>
      </c>
      <c r="K39" s="76">
        <f t="shared" ref="K39:L39" si="10">K40+K41</f>
        <v>0</v>
      </c>
      <c r="L39" s="76">
        <f t="shared" si="10"/>
        <v>220.86</v>
      </c>
      <c r="M39" s="113" t="s">
        <v>416</v>
      </c>
      <c r="N39" s="128" t="s">
        <v>416</v>
      </c>
      <c r="O39" s="28"/>
      <c r="P39" s="28"/>
    </row>
    <row r="40" spans="1:16" ht="51" x14ac:dyDescent="0.25">
      <c r="A40" s="62"/>
      <c r="B40" s="73" t="s">
        <v>100</v>
      </c>
      <c r="C40" s="97" t="s">
        <v>101</v>
      </c>
      <c r="D40" s="86" t="s">
        <v>48</v>
      </c>
      <c r="E40" s="65">
        <f t="shared" si="2"/>
        <v>36.6</v>
      </c>
      <c r="F40" s="66">
        <v>0</v>
      </c>
      <c r="G40" s="67">
        <v>36.6</v>
      </c>
      <c r="H40" s="68">
        <v>0</v>
      </c>
      <c r="I40" s="69">
        <f>SUM(J40:L40)</f>
        <v>76</v>
      </c>
      <c r="J40" s="70">
        <v>0</v>
      </c>
      <c r="K40" s="71">
        <v>0</v>
      </c>
      <c r="L40" s="152">
        <v>76</v>
      </c>
      <c r="M40" s="116" t="s">
        <v>415</v>
      </c>
      <c r="N40" s="128" t="s">
        <v>448</v>
      </c>
      <c r="O40" s="28"/>
      <c r="P40" s="28"/>
    </row>
    <row r="41" spans="1:16" ht="38.25" x14ac:dyDescent="0.25">
      <c r="A41" s="62"/>
      <c r="B41" s="73" t="s">
        <v>102</v>
      </c>
      <c r="C41" s="97" t="s">
        <v>103</v>
      </c>
      <c r="D41" s="86" t="s">
        <v>48</v>
      </c>
      <c r="E41" s="65">
        <f t="shared" si="2"/>
        <v>25.5</v>
      </c>
      <c r="F41" s="66">
        <v>0</v>
      </c>
      <c r="G41" s="67">
        <v>0</v>
      </c>
      <c r="H41" s="68">
        <v>25.5</v>
      </c>
      <c r="I41" s="69">
        <f>SUM(J41:L41)</f>
        <v>144.86000000000001</v>
      </c>
      <c r="J41" s="70">
        <v>0</v>
      </c>
      <c r="K41" s="71">
        <v>0</v>
      </c>
      <c r="L41" s="152">
        <v>144.86000000000001</v>
      </c>
      <c r="M41" s="116" t="s">
        <v>415</v>
      </c>
      <c r="N41" s="128" t="s">
        <v>416</v>
      </c>
      <c r="O41" s="28"/>
      <c r="P41" s="28"/>
    </row>
    <row r="42" spans="1:16" ht="38.25" x14ac:dyDescent="0.25">
      <c r="A42" s="87" t="s">
        <v>104</v>
      </c>
      <c r="B42" s="88" t="s">
        <v>105</v>
      </c>
      <c r="C42" s="102"/>
      <c r="D42" s="89"/>
      <c r="E42" s="56">
        <f t="shared" si="2"/>
        <v>25678.39</v>
      </c>
      <c r="F42" s="107">
        <f>F43+F49+F50+F56+F62</f>
        <v>0</v>
      </c>
      <c r="G42" s="107">
        <f t="shared" ref="G42:H42" si="11">G43+G49+G50+G56+G62</f>
        <v>7331.39</v>
      </c>
      <c r="H42" s="107">
        <f t="shared" si="11"/>
        <v>18347</v>
      </c>
      <c r="I42" s="60">
        <f>I43+I49+I50+I56+I62</f>
        <v>10415.060000000001</v>
      </c>
      <c r="J42" s="60">
        <f>J43+J49+J50+J56+J62</f>
        <v>280.56</v>
      </c>
      <c r="K42" s="60">
        <f>K43+K49+K50+K56+K62</f>
        <v>3679.8</v>
      </c>
      <c r="L42" s="60">
        <f>L43+L49+L50+L56+L62</f>
        <v>6454.7</v>
      </c>
      <c r="M42" s="126"/>
      <c r="N42" s="126"/>
      <c r="O42" s="28"/>
      <c r="P42" s="28"/>
    </row>
    <row r="43" spans="1:16" ht="89.25" x14ac:dyDescent="0.25">
      <c r="A43" s="53" t="s">
        <v>106</v>
      </c>
      <c r="B43" s="54" t="s">
        <v>107</v>
      </c>
      <c r="C43" s="96" t="s">
        <v>101</v>
      </c>
      <c r="D43" s="55" t="s">
        <v>48</v>
      </c>
      <c r="E43" s="56">
        <f t="shared" si="2"/>
        <v>18784.84</v>
      </c>
      <c r="F43" s="57">
        <f>SUM(F44:F48)</f>
        <v>0</v>
      </c>
      <c r="G43" s="57">
        <f t="shared" ref="G43:H43" si="12">SUM(G44:G48)</f>
        <v>687.84</v>
      </c>
      <c r="H43" s="57">
        <f t="shared" si="12"/>
        <v>18097</v>
      </c>
      <c r="I43" s="60">
        <f>I44+I45+I46+I47+I48</f>
        <v>4452.59</v>
      </c>
      <c r="J43" s="61">
        <f>J44+J45+J46+J47+J48</f>
        <v>62.13</v>
      </c>
      <c r="K43" s="61">
        <f t="shared" ref="K43:L43" si="13">K44+K45+K46+K47+K48</f>
        <v>0</v>
      </c>
      <c r="L43" s="61">
        <f t="shared" si="13"/>
        <v>4390.46</v>
      </c>
      <c r="M43" s="113" t="s">
        <v>416</v>
      </c>
      <c r="N43" s="128" t="s">
        <v>416</v>
      </c>
      <c r="O43" s="28"/>
      <c r="P43" s="28"/>
    </row>
    <row r="44" spans="1:16" ht="76.5" x14ac:dyDescent="0.25">
      <c r="A44" s="62"/>
      <c r="B44" s="73" t="s">
        <v>108</v>
      </c>
      <c r="C44" s="97" t="s">
        <v>101</v>
      </c>
      <c r="D44" s="86" t="s">
        <v>48</v>
      </c>
      <c r="E44" s="65">
        <f t="shared" si="2"/>
        <v>687.84</v>
      </c>
      <c r="F44" s="66">
        <v>0</v>
      </c>
      <c r="G44" s="67">
        <v>687.84</v>
      </c>
      <c r="H44" s="68">
        <v>0</v>
      </c>
      <c r="I44" s="69">
        <f t="shared" si="5"/>
        <v>269.92</v>
      </c>
      <c r="J44" s="150">
        <v>62.13</v>
      </c>
      <c r="K44" s="151">
        <v>0</v>
      </c>
      <c r="L44" s="152">
        <v>207.79</v>
      </c>
      <c r="M44" s="116" t="s">
        <v>415</v>
      </c>
      <c r="N44" s="143" t="s">
        <v>483</v>
      </c>
      <c r="O44" s="28"/>
      <c r="P44" s="28"/>
    </row>
    <row r="45" spans="1:16" ht="63.75" x14ac:dyDescent="0.25">
      <c r="A45" s="53"/>
      <c r="B45" s="73" t="s">
        <v>109</v>
      </c>
      <c r="C45" s="97" t="s">
        <v>101</v>
      </c>
      <c r="D45" s="86" t="s">
        <v>48</v>
      </c>
      <c r="E45" s="65">
        <f t="shared" si="2"/>
        <v>0</v>
      </c>
      <c r="F45" s="66">
        <v>0</v>
      </c>
      <c r="G45" s="67">
        <v>0</v>
      </c>
      <c r="H45" s="68">
        <v>0</v>
      </c>
      <c r="I45" s="69">
        <f t="shared" si="5"/>
        <v>0</v>
      </c>
      <c r="J45" s="70">
        <v>0</v>
      </c>
      <c r="K45" s="71">
        <v>0</v>
      </c>
      <c r="L45" s="72">
        <v>0</v>
      </c>
      <c r="M45" s="116" t="s">
        <v>417</v>
      </c>
      <c r="N45" s="128" t="s">
        <v>416</v>
      </c>
      <c r="O45" s="28"/>
      <c r="P45" s="28"/>
    </row>
    <row r="46" spans="1:16" ht="38.25" x14ac:dyDescent="0.25">
      <c r="A46" s="62"/>
      <c r="B46" s="73" t="s">
        <v>110</v>
      </c>
      <c r="C46" s="97" t="s">
        <v>101</v>
      </c>
      <c r="D46" s="86" t="s">
        <v>48</v>
      </c>
      <c r="E46" s="65">
        <f t="shared" si="2"/>
        <v>0</v>
      </c>
      <c r="F46" s="66">
        <v>0</v>
      </c>
      <c r="G46" s="67">
        <v>0</v>
      </c>
      <c r="H46" s="68">
        <v>0</v>
      </c>
      <c r="I46" s="69">
        <f t="shared" si="5"/>
        <v>0</v>
      </c>
      <c r="J46" s="70">
        <v>0</v>
      </c>
      <c r="K46" s="71">
        <v>0</v>
      </c>
      <c r="L46" s="72">
        <v>0</v>
      </c>
      <c r="M46" s="116" t="s">
        <v>417</v>
      </c>
      <c r="N46" s="128" t="s">
        <v>416</v>
      </c>
      <c r="O46" s="28"/>
      <c r="P46" s="28"/>
    </row>
    <row r="47" spans="1:16" ht="102" x14ac:dyDescent="0.25">
      <c r="A47" s="62"/>
      <c r="B47" s="73" t="s">
        <v>111</v>
      </c>
      <c r="C47" s="97" t="s">
        <v>112</v>
      </c>
      <c r="D47" s="86" t="s">
        <v>48</v>
      </c>
      <c r="E47" s="65">
        <f t="shared" si="2"/>
        <v>18097</v>
      </c>
      <c r="F47" s="66">
        <v>0</v>
      </c>
      <c r="G47" s="67">
        <v>0</v>
      </c>
      <c r="H47" s="68">
        <v>18097</v>
      </c>
      <c r="I47" s="69">
        <f t="shared" si="5"/>
        <v>4182.67</v>
      </c>
      <c r="J47" s="70">
        <v>0</v>
      </c>
      <c r="K47" s="71">
        <v>0</v>
      </c>
      <c r="L47" s="152">
        <v>4182.67</v>
      </c>
      <c r="M47" s="113" t="s">
        <v>413</v>
      </c>
      <c r="N47" s="128" t="s">
        <v>416</v>
      </c>
      <c r="O47" s="28"/>
      <c r="P47" s="28"/>
    </row>
    <row r="48" spans="1:16" ht="38.25" x14ac:dyDescent="0.25">
      <c r="A48" s="62"/>
      <c r="B48" s="73" t="s">
        <v>113</v>
      </c>
      <c r="C48" s="97" t="s">
        <v>74</v>
      </c>
      <c r="D48" s="86" t="s">
        <v>48</v>
      </c>
      <c r="E48" s="65">
        <f t="shared" si="2"/>
        <v>0</v>
      </c>
      <c r="F48" s="66">
        <v>0</v>
      </c>
      <c r="G48" s="67">
        <v>0</v>
      </c>
      <c r="H48" s="68">
        <v>0</v>
      </c>
      <c r="I48" s="69">
        <f t="shared" si="5"/>
        <v>0</v>
      </c>
      <c r="J48" s="70">
        <v>0</v>
      </c>
      <c r="K48" s="71">
        <v>0</v>
      </c>
      <c r="L48" s="72">
        <v>0</v>
      </c>
      <c r="M48" s="116" t="s">
        <v>417</v>
      </c>
      <c r="N48" s="128" t="s">
        <v>416</v>
      </c>
      <c r="O48" s="28"/>
      <c r="P48" s="28"/>
    </row>
    <row r="49" spans="1:16" ht="76.5" x14ac:dyDescent="0.25">
      <c r="A49" s="53" t="s">
        <v>114</v>
      </c>
      <c r="B49" s="82" t="s">
        <v>115</v>
      </c>
      <c r="C49" s="96" t="s">
        <v>74</v>
      </c>
      <c r="D49" s="75" t="s">
        <v>48</v>
      </c>
      <c r="E49" s="56">
        <f t="shared" si="2"/>
        <v>694.3</v>
      </c>
      <c r="F49" s="57">
        <v>0</v>
      </c>
      <c r="G49" s="58">
        <v>694.3</v>
      </c>
      <c r="H49" s="59">
        <v>0</v>
      </c>
      <c r="I49" s="60">
        <f t="shared" si="5"/>
        <v>235.67</v>
      </c>
      <c r="J49" s="76">
        <v>0</v>
      </c>
      <c r="K49" s="155">
        <v>235.67</v>
      </c>
      <c r="L49" s="78">
        <v>0</v>
      </c>
      <c r="M49" s="116" t="s">
        <v>415</v>
      </c>
      <c r="N49" s="180" t="s">
        <v>499</v>
      </c>
      <c r="O49" s="28"/>
      <c r="P49" s="28"/>
    </row>
    <row r="50" spans="1:16" ht="89.25" x14ac:dyDescent="0.25">
      <c r="A50" s="53" t="s">
        <v>116</v>
      </c>
      <c r="B50" s="54" t="s">
        <v>117</v>
      </c>
      <c r="C50" s="96" t="s">
        <v>74</v>
      </c>
      <c r="D50" s="75" t="s">
        <v>48</v>
      </c>
      <c r="E50" s="56">
        <f t="shared" si="2"/>
        <v>2037.11</v>
      </c>
      <c r="F50" s="57">
        <f>SUM(F51:F55)</f>
        <v>0</v>
      </c>
      <c r="G50" s="57">
        <f t="shared" ref="G50:H50" si="14">SUM(G51:G55)</f>
        <v>2037.11</v>
      </c>
      <c r="H50" s="57">
        <f t="shared" si="14"/>
        <v>0</v>
      </c>
      <c r="I50" s="60">
        <f>I51+I52+I53+I54+I55</f>
        <v>1447.12</v>
      </c>
      <c r="J50" s="61">
        <f>J51+J52+J53+J54+J55</f>
        <v>218.43</v>
      </c>
      <c r="K50" s="61">
        <f t="shared" ref="K50:L50" si="15">K51+K52+K53+K54+K55</f>
        <v>481.28999999999996</v>
      </c>
      <c r="L50" s="61">
        <f t="shared" si="15"/>
        <v>747.4</v>
      </c>
      <c r="M50" s="113" t="s">
        <v>416</v>
      </c>
      <c r="N50" s="128" t="s">
        <v>416</v>
      </c>
      <c r="O50" s="28"/>
      <c r="P50" s="28"/>
    </row>
    <row r="51" spans="1:16" ht="25.5" x14ac:dyDescent="0.25">
      <c r="A51" s="62"/>
      <c r="B51" s="83" t="s">
        <v>118</v>
      </c>
      <c r="C51" s="97" t="s">
        <v>74</v>
      </c>
      <c r="D51" s="86" t="s">
        <v>48</v>
      </c>
      <c r="E51" s="65">
        <f t="shared" si="2"/>
        <v>29.7</v>
      </c>
      <c r="F51" s="66">
        <v>0</v>
      </c>
      <c r="G51" s="67">
        <v>29.7</v>
      </c>
      <c r="H51" s="68">
        <v>0</v>
      </c>
      <c r="I51" s="69">
        <f t="shared" si="5"/>
        <v>855.86</v>
      </c>
      <c r="J51" s="150">
        <v>218.43</v>
      </c>
      <c r="K51" s="151">
        <v>25.03</v>
      </c>
      <c r="L51" s="152">
        <f>551.67+60.73</f>
        <v>612.4</v>
      </c>
      <c r="M51" s="116" t="s">
        <v>415</v>
      </c>
      <c r="N51" s="128"/>
      <c r="O51" s="28"/>
      <c r="P51" s="28"/>
    </row>
    <row r="52" spans="1:16" ht="24" x14ac:dyDescent="0.25">
      <c r="A52" s="62"/>
      <c r="B52" s="83" t="s">
        <v>119</v>
      </c>
      <c r="C52" s="97" t="s">
        <v>74</v>
      </c>
      <c r="D52" s="86" t="s">
        <v>48</v>
      </c>
      <c r="E52" s="65">
        <f t="shared" si="2"/>
        <v>15.28</v>
      </c>
      <c r="F52" s="66">
        <v>0</v>
      </c>
      <c r="G52" s="67">
        <v>15.28</v>
      </c>
      <c r="H52" s="68">
        <v>0</v>
      </c>
      <c r="I52" s="69">
        <f t="shared" si="5"/>
        <v>90.990000000000009</v>
      </c>
      <c r="J52" s="150">
        <v>0</v>
      </c>
      <c r="K52" s="151">
        <v>17.07</v>
      </c>
      <c r="L52" s="152">
        <v>73.92</v>
      </c>
      <c r="M52" s="116" t="s">
        <v>415</v>
      </c>
      <c r="N52" s="128"/>
      <c r="O52" s="28"/>
      <c r="P52" s="28"/>
    </row>
    <row r="53" spans="1:16" ht="38.25" x14ac:dyDescent="0.25">
      <c r="A53" s="62"/>
      <c r="B53" s="83" t="s">
        <v>120</v>
      </c>
      <c r="C53" s="97" t="s">
        <v>74</v>
      </c>
      <c r="D53" s="86" t="s">
        <v>48</v>
      </c>
      <c r="E53" s="65">
        <f t="shared" si="2"/>
        <v>294.64999999999998</v>
      </c>
      <c r="F53" s="66">
        <v>0</v>
      </c>
      <c r="G53" s="67">
        <v>294.64999999999998</v>
      </c>
      <c r="H53" s="68">
        <v>0</v>
      </c>
      <c r="I53" s="69">
        <f t="shared" si="5"/>
        <v>250</v>
      </c>
      <c r="J53" s="150">
        <v>0</v>
      </c>
      <c r="K53" s="71">
        <v>200.42</v>
      </c>
      <c r="L53" s="152">
        <f>44.32+5.26</f>
        <v>49.58</v>
      </c>
      <c r="M53" s="116" t="s">
        <v>415</v>
      </c>
      <c r="N53" s="181" t="s">
        <v>562</v>
      </c>
      <c r="O53" s="28"/>
      <c r="P53" s="28"/>
    </row>
    <row r="54" spans="1:16" ht="63.75" x14ac:dyDescent="0.25">
      <c r="A54" s="62"/>
      <c r="B54" s="83" t="s">
        <v>121</v>
      </c>
      <c r="C54" s="97" t="s">
        <v>74</v>
      </c>
      <c r="D54" s="86" t="s">
        <v>48</v>
      </c>
      <c r="E54" s="65">
        <f t="shared" si="2"/>
        <v>1438.28</v>
      </c>
      <c r="F54" s="66">
        <v>0</v>
      </c>
      <c r="G54" s="67">
        <v>1438.28</v>
      </c>
      <c r="H54" s="68">
        <v>0</v>
      </c>
      <c r="I54" s="69">
        <f t="shared" si="5"/>
        <v>0</v>
      </c>
      <c r="J54" s="70">
        <v>0</v>
      </c>
      <c r="K54" s="71">
        <v>0</v>
      </c>
      <c r="L54" s="72">
        <v>0</v>
      </c>
      <c r="M54" s="116" t="s">
        <v>415</v>
      </c>
      <c r="N54" s="128" t="s">
        <v>426</v>
      </c>
      <c r="O54" s="28"/>
      <c r="P54" s="28"/>
    </row>
    <row r="55" spans="1:16" ht="38.25" x14ac:dyDescent="0.25">
      <c r="A55" s="62"/>
      <c r="B55" s="83" t="s">
        <v>122</v>
      </c>
      <c r="C55" s="97" t="s">
        <v>74</v>
      </c>
      <c r="D55" s="86" t="s">
        <v>48</v>
      </c>
      <c r="E55" s="65">
        <f t="shared" si="2"/>
        <v>259.2</v>
      </c>
      <c r="F55" s="66">
        <v>0</v>
      </c>
      <c r="G55" s="67">
        <v>259.2</v>
      </c>
      <c r="H55" s="68">
        <v>0</v>
      </c>
      <c r="I55" s="69">
        <f t="shared" si="5"/>
        <v>250.27</v>
      </c>
      <c r="J55" s="70">
        <v>0</v>
      </c>
      <c r="K55" s="151">
        <v>238.77</v>
      </c>
      <c r="L55" s="152">
        <f>11+0.5</f>
        <v>11.5</v>
      </c>
      <c r="M55" s="116" t="s">
        <v>415</v>
      </c>
      <c r="N55" s="148" t="s">
        <v>563</v>
      </c>
      <c r="O55" s="28"/>
      <c r="P55" s="28"/>
    </row>
    <row r="56" spans="1:16" ht="38.25" x14ac:dyDescent="0.25">
      <c r="A56" s="53" t="s">
        <v>123</v>
      </c>
      <c r="B56" s="54" t="s">
        <v>124</v>
      </c>
      <c r="C56" s="96" t="s">
        <v>74</v>
      </c>
      <c r="D56" s="55" t="s">
        <v>48</v>
      </c>
      <c r="E56" s="56">
        <f t="shared" si="2"/>
        <v>3912.1400000000003</v>
      </c>
      <c r="F56" s="57">
        <f>SUM(F57:F61)</f>
        <v>0</v>
      </c>
      <c r="G56" s="57">
        <f t="shared" ref="G56:H56" si="16">SUM(G57:G61)</f>
        <v>3912.1400000000003</v>
      </c>
      <c r="H56" s="57">
        <f t="shared" si="16"/>
        <v>0</v>
      </c>
      <c r="I56" s="60">
        <f>I57+I58+I59+I60+I61</f>
        <v>4279.68</v>
      </c>
      <c r="J56" s="61">
        <f>J57+J58+J59+J60+J61</f>
        <v>0</v>
      </c>
      <c r="K56" s="61">
        <f>K57+K58+K59+K60+K61</f>
        <v>2962.84</v>
      </c>
      <c r="L56" s="61">
        <f>L57+L58+L59+L60+L61</f>
        <v>1316.84</v>
      </c>
      <c r="M56" s="113" t="s">
        <v>416</v>
      </c>
      <c r="N56" s="128" t="s">
        <v>416</v>
      </c>
      <c r="O56" s="28"/>
      <c r="P56" s="28"/>
    </row>
    <row r="57" spans="1:16" ht="25.5" x14ac:dyDescent="0.25">
      <c r="A57" s="62"/>
      <c r="B57" s="73" t="s">
        <v>125</v>
      </c>
      <c r="C57" s="97" t="s">
        <v>74</v>
      </c>
      <c r="D57" s="86" t="s">
        <v>48</v>
      </c>
      <c r="E57" s="65">
        <f t="shared" si="2"/>
        <v>135</v>
      </c>
      <c r="F57" s="66">
        <v>0</v>
      </c>
      <c r="G57" s="67">
        <v>135</v>
      </c>
      <c r="H57" s="68">
        <v>0</v>
      </c>
      <c r="I57" s="69">
        <f t="shared" si="5"/>
        <v>449.5</v>
      </c>
      <c r="J57" s="70">
        <v>0</v>
      </c>
      <c r="K57" s="151">
        <v>130</v>
      </c>
      <c r="L57" s="152">
        <v>319.5</v>
      </c>
      <c r="M57" s="116" t="s">
        <v>415</v>
      </c>
      <c r="N57" s="142"/>
      <c r="O57" s="28"/>
      <c r="P57" s="28"/>
    </row>
    <row r="58" spans="1:16" ht="25.5" x14ac:dyDescent="0.25">
      <c r="A58" s="62"/>
      <c r="B58" s="73" t="s">
        <v>126</v>
      </c>
      <c r="C58" s="97" t="s">
        <v>74</v>
      </c>
      <c r="D58" s="86" t="s">
        <v>48</v>
      </c>
      <c r="E58" s="65">
        <f t="shared" si="2"/>
        <v>324</v>
      </c>
      <c r="F58" s="66">
        <v>0</v>
      </c>
      <c r="G58" s="67">
        <v>324</v>
      </c>
      <c r="H58" s="68">
        <v>0</v>
      </c>
      <c r="I58" s="69">
        <f t="shared" si="5"/>
        <v>648.83999999999992</v>
      </c>
      <c r="J58" s="70">
        <v>0</v>
      </c>
      <c r="K58" s="151">
        <v>312</v>
      </c>
      <c r="L58" s="152">
        <v>336.84</v>
      </c>
      <c r="M58" s="116" t="s">
        <v>415</v>
      </c>
      <c r="N58" s="140"/>
      <c r="O58" s="28"/>
      <c r="P58" s="28"/>
    </row>
    <row r="59" spans="1:16" ht="24" x14ac:dyDescent="0.25">
      <c r="A59" s="62"/>
      <c r="B59" s="73" t="s">
        <v>127</v>
      </c>
      <c r="C59" s="97" t="s">
        <v>74</v>
      </c>
      <c r="D59" s="86" t="s">
        <v>48</v>
      </c>
      <c r="E59" s="65">
        <f t="shared" si="2"/>
        <v>16.2</v>
      </c>
      <c r="F59" s="66">
        <v>0</v>
      </c>
      <c r="G59" s="67">
        <v>16.2</v>
      </c>
      <c r="H59" s="68">
        <v>0</v>
      </c>
      <c r="I59" s="69">
        <f t="shared" si="5"/>
        <v>336.7</v>
      </c>
      <c r="J59" s="70">
        <v>0</v>
      </c>
      <c r="K59" s="151">
        <v>16.2</v>
      </c>
      <c r="L59" s="152">
        <v>320.5</v>
      </c>
      <c r="M59" s="116" t="s">
        <v>415</v>
      </c>
      <c r="N59" s="140"/>
      <c r="O59" s="28"/>
      <c r="P59" s="28"/>
    </row>
    <row r="60" spans="1:16" ht="25.5" x14ac:dyDescent="0.25">
      <c r="A60" s="62"/>
      <c r="B60" s="73" t="s">
        <v>128</v>
      </c>
      <c r="C60" s="97" t="s">
        <v>74</v>
      </c>
      <c r="D60" s="86" t="s">
        <v>48</v>
      </c>
      <c r="E60" s="65">
        <f t="shared" si="2"/>
        <v>19.2</v>
      </c>
      <c r="F60" s="66">
        <v>0</v>
      </c>
      <c r="G60" s="67">
        <v>19.2</v>
      </c>
      <c r="H60" s="68">
        <v>0</v>
      </c>
      <c r="I60" s="69">
        <f t="shared" si="5"/>
        <v>359.2</v>
      </c>
      <c r="J60" s="70">
        <v>0</v>
      </c>
      <c r="K60" s="151">
        <v>19.2</v>
      </c>
      <c r="L60" s="152">
        <v>340</v>
      </c>
      <c r="M60" s="116" t="s">
        <v>415</v>
      </c>
      <c r="N60" s="140"/>
      <c r="O60" s="28"/>
      <c r="P60" s="28"/>
    </row>
    <row r="61" spans="1:16" ht="38.25" x14ac:dyDescent="0.25">
      <c r="A61" s="62"/>
      <c r="B61" s="73" t="s">
        <v>129</v>
      </c>
      <c r="C61" s="97" t="s">
        <v>74</v>
      </c>
      <c r="D61" s="86" t="s">
        <v>48</v>
      </c>
      <c r="E61" s="65">
        <f t="shared" si="2"/>
        <v>3417.7400000000002</v>
      </c>
      <c r="F61" s="66">
        <v>0</v>
      </c>
      <c r="G61" s="67">
        <v>3417.7400000000002</v>
      </c>
      <c r="H61" s="68">
        <v>0</v>
      </c>
      <c r="I61" s="69">
        <f t="shared" si="5"/>
        <v>2485.44</v>
      </c>
      <c r="J61" s="70">
        <v>0</v>
      </c>
      <c r="K61" s="151">
        <v>2485.44</v>
      </c>
      <c r="L61" s="152">
        <v>0</v>
      </c>
      <c r="M61" s="116" t="s">
        <v>415</v>
      </c>
      <c r="N61" s="140" t="s">
        <v>564</v>
      </c>
      <c r="O61" s="28"/>
      <c r="P61" s="28"/>
    </row>
    <row r="62" spans="1:16" ht="89.25" x14ac:dyDescent="0.25">
      <c r="A62" s="53" t="s">
        <v>130</v>
      </c>
      <c r="B62" s="54" t="s">
        <v>131</v>
      </c>
      <c r="C62" s="96" t="s">
        <v>74</v>
      </c>
      <c r="D62" s="55" t="s">
        <v>48</v>
      </c>
      <c r="E62" s="56">
        <f t="shared" si="2"/>
        <v>250</v>
      </c>
      <c r="F62" s="57">
        <v>0</v>
      </c>
      <c r="G62" s="58">
        <v>0</v>
      </c>
      <c r="H62" s="59">
        <v>250</v>
      </c>
      <c r="I62" s="60">
        <f t="shared" si="5"/>
        <v>0</v>
      </c>
      <c r="J62" s="76">
        <v>0</v>
      </c>
      <c r="K62" s="77">
        <v>0</v>
      </c>
      <c r="L62" s="78">
        <v>0</v>
      </c>
      <c r="M62" s="127" t="s">
        <v>419</v>
      </c>
      <c r="N62" s="128" t="s">
        <v>420</v>
      </c>
      <c r="O62" s="28"/>
      <c r="P62" s="28"/>
    </row>
    <row r="63" spans="1:16" ht="25.5" x14ac:dyDescent="0.25">
      <c r="A63" s="53" t="s">
        <v>132</v>
      </c>
      <c r="B63" s="54" t="s">
        <v>133</v>
      </c>
      <c r="C63" s="96"/>
      <c r="D63" s="55"/>
      <c r="E63" s="56">
        <f t="shared" si="2"/>
        <v>160335</v>
      </c>
      <c r="F63" s="107">
        <f>SUM(F64+F68+F71+F72)</f>
        <v>0</v>
      </c>
      <c r="G63" s="107">
        <f t="shared" ref="G63:H63" si="17">SUM(G64+G68+G71+G72)</f>
        <v>0</v>
      </c>
      <c r="H63" s="107">
        <f t="shared" si="17"/>
        <v>160335</v>
      </c>
      <c r="I63" s="60">
        <f>I64+I68+I71+I72</f>
        <v>40356.119999999995</v>
      </c>
      <c r="J63" s="60">
        <f>J64+J68+J71+J72</f>
        <v>15704.900000000001</v>
      </c>
      <c r="K63" s="60">
        <f>K64+K68+K71+K72</f>
        <v>0</v>
      </c>
      <c r="L63" s="60">
        <f>L64+L68+L71+L72</f>
        <v>24651.22</v>
      </c>
      <c r="M63" s="126"/>
      <c r="N63" s="126"/>
      <c r="O63" s="28"/>
      <c r="P63" s="28"/>
    </row>
    <row r="64" spans="1:16" ht="51" x14ac:dyDescent="0.25">
      <c r="A64" s="53" t="s">
        <v>134</v>
      </c>
      <c r="B64" s="54" t="s">
        <v>135</v>
      </c>
      <c r="C64" s="96" t="s">
        <v>74</v>
      </c>
      <c r="D64" s="55" t="s">
        <v>48</v>
      </c>
      <c r="E64" s="56">
        <f t="shared" si="2"/>
        <v>150144</v>
      </c>
      <c r="F64" s="57">
        <f>SUM(F65:F67)</f>
        <v>0</v>
      </c>
      <c r="G64" s="57">
        <f t="shared" ref="G64:H64" si="18">SUM(G65:G67)</f>
        <v>0</v>
      </c>
      <c r="H64" s="57">
        <f t="shared" si="18"/>
        <v>150144</v>
      </c>
      <c r="I64" s="60">
        <f>I65+I66+I67</f>
        <v>28910.67</v>
      </c>
      <c r="J64" s="61">
        <f>J65+J66+J67</f>
        <v>14577.79</v>
      </c>
      <c r="K64" s="61">
        <f>K65+K66+K67</f>
        <v>0</v>
      </c>
      <c r="L64" s="61">
        <f>L65+L66+L67</f>
        <v>14332.88</v>
      </c>
      <c r="M64" s="113" t="s">
        <v>416</v>
      </c>
      <c r="N64" s="128" t="s">
        <v>416</v>
      </c>
      <c r="O64" s="28"/>
      <c r="P64" s="28"/>
    </row>
    <row r="65" spans="1:16" ht="76.5" x14ac:dyDescent="0.25">
      <c r="A65" s="62"/>
      <c r="B65" s="73" t="s">
        <v>136</v>
      </c>
      <c r="C65" s="97" t="s">
        <v>74</v>
      </c>
      <c r="D65" s="86" t="s">
        <v>48</v>
      </c>
      <c r="E65" s="65">
        <f t="shared" si="2"/>
        <v>150144</v>
      </c>
      <c r="F65" s="66">
        <v>0</v>
      </c>
      <c r="G65" s="67">
        <v>0</v>
      </c>
      <c r="H65" s="68">
        <v>150144</v>
      </c>
      <c r="I65" s="69">
        <f t="shared" si="5"/>
        <v>28910.67</v>
      </c>
      <c r="J65" s="150">
        <f>14577.79</f>
        <v>14577.79</v>
      </c>
      <c r="K65" s="151">
        <v>0</v>
      </c>
      <c r="L65" s="152">
        <f>174.9+14157.98</f>
        <v>14332.88</v>
      </c>
      <c r="M65" s="137" t="s">
        <v>413</v>
      </c>
      <c r="N65" s="128" t="s">
        <v>416</v>
      </c>
      <c r="O65" s="28"/>
      <c r="P65" s="28"/>
    </row>
    <row r="66" spans="1:16" ht="51" x14ac:dyDescent="0.25">
      <c r="A66" s="62"/>
      <c r="B66" s="73" t="s">
        <v>137</v>
      </c>
      <c r="C66" s="97" t="s">
        <v>74</v>
      </c>
      <c r="D66" s="86" t="s">
        <v>48</v>
      </c>
      <c r="E66" s="65">
        <f t="shared" si="2"/>
        <v>0</v>
      </c>
      <c r="F66" s="66">
        <v>0</v>
      </c>
      <c r="G66" s="67">
        <v>0</v>
      </c>
      <c r="H66" s="68">
        <v>0</v>
      </c>
      <c r="I66" s="69">
        <f t="shared" si="5"/>
        <v>0</v>
      </c>
      <c r="J66" s="70">
        <v>0</v>
      </c>
      <c r="K66" s="71">
        <v>0</v>
      </c>
      <c r="L66" s="72">
        <v>0</v>
      </c>
      <c r="M66" s="116" t="s">
        <v>417</v>
      </c>
      <c r="N66" s="128" t="s">
        <v>416</v>
      </c>
      <c r="O66" s="28"/>
      <c r="P66" s="28"/>
    </row>
    <row r="67" spans="1:16" ht="51" x14ac:dyDescent="0.25">
      <c r="A67" s="62"/>
      <c r="B67" s="73" t="s">
        <v>138</v>
      </c>
      <c r="C67" s="97" t="s">
        <v>74</v>
      </c>
      <c r="D67" s="86" t="s">
        <v>48</v>
      </c>
      <c r="E67" s="65">
        <f t="shared" si="2"/>
        <v>0</v>
      </c>
      <c r="F67" s="66">
        <v>0</v>
      </c>
      <c r="G67" s="67">
        <v>0</v>
      </c>
      <c r="H67" s="68">
        <v>0</v>
      </c>
      <c r="I67" s="69">
        <f t="shared" si="5"/>
        <v>0</v>
      </c>
      <c r="J67" s="70">
        <v>0</v>
      </c>
      <c r="K67" s="71">
        <v>0</v>
      </c>
      <c r="L67" s="72">
        <v>0</v>
      </c>
      <c r="M67" s="116" t="s">
        <v>417</v>
      </c>
      <c r="N67" s="128" t="s">
        <v>416</v>
      </c>
      <c r="O67" s="28"/>
      <c r="P67" s="28"/>
    </row>
    <row r="68" spans="1:16" ht="38.25" x14ac:dyDescent="0.25">
      <c r="A68" s="53" t="s">
        <v>139</v>
      </c>
      <c r="B68" s="54" t="s">
        <v>140</v>
      </c>
      <c r="C68" s="96" t="s">
        <v>74</v>
      </c>
      <c r="D68" s="55" t="s">
        <v>67</v>
      </c>
      <c r="E68" s="56">
        <f t="shared" si="2"/>
        <v>0</v>
      </c>
      <c r="F68" s="57">
        <f>SUM(F69:F70)</f>
        <v>0</v>
      </c>
      <c r="G68" s="58">
        <v>0</v>
      </c>
      <c r="H68" s="59">
        <v>0</v>
      </c>
      <c r="I68" s="60">
        <f>I69+I70</f>
        <v>0</v>
      </c>
      <c r="J68" s="61">
        <f>J69+J70</f>
        <v>0</v>
      </c>
      <c r="K68" s="61">
        <f>K69+K70</f>
        <v>0</v>
      </c>
      <c r="L68" s="61">
        <f>L69+L70</f>
        <v>0</v>
      </c>
      <c r="M68" s="113" t="s">
        <v>416</v>
      </c>
      <c r="N68" s="128" t="s">
        <v>416</v>
      </c>
      <c r="O68" s="28"/>
      <c r="P68" s="28"/>
    </row>
    <row r="69" spans="1:16" ht="38.25" x14ac:dyDescent="0.25">
      <c r="A69" s="62"/>
      <c r="B69" s="73" t="s">
        <v>141</v>
      </c>
      <c r="C69" s="97" t="s">
        <v>74</v>
      </c>
      <c r="D69" s="86" t="s">
        <v>67</v>
      </c>
      <c r="E69" s="65">
        <f t="shared" si="2"/>
        <v>0</v>
      </c>
      <c r="F69" s="66">
        <v>0</v>
      </c>
      <c r="G69" s="67">
        <v>0</v>
      </c>
      <c r="H69" s="68">
        <v>0</v>
      </c>
      <c r="I69" s="69">
        <f t="shared" si="5"/>
        <v>0</v>
      </c>
      <c r="J69" s="70">
        <v>0</v>
      </c>
      <c r="K69" s="71">
        <v>0</v>
      </c>
      <c r="L69" s="72">
        <v>0</v>
      </c>
      <c r="M69" s="116" t="s">
        <v>417</v>
      </c>
      <c r="N69" s="128" t="s">
        <v>416</v>
      </c>
      <c r="O69" s="28"/>
      <c r="P69" s="28"/>
    </row>
    <row r="70" spans="1:16" ht="38.25" x14ac:dyDescent="0.25">
      <c r="A70" s="62"/>
      <c r="B70" s="73" t="s">
        <v>142</v>
      </c>
      <c r="C70" s="97" t="s">
        <v>74</v>
      </c>
      <c r="D70" s="86" t="s">
        <v>67</v>
      </c>
      <c r="E70" s="65">
        <f t="shared" si="2"/>
        <v>0</v>
      </c>
      <c r="F70" s="66">
        <v>0</v>
      </c>
      <c r="G70" s="67">
        <v>0</v>
      </c>
      <c r="H70" s="68">
        <v>0</v>
      </c>
      <c r="I70" s="69">
        <f t="shared" si="5"/>
        <v>0</v>
      </c>
      <c r="J70" s="70">
        <v>0</v>
      </c>
      <c r="K70" s="71">
        <v>0</v>
      </c>
      <c r="L70" s="72">
        <v>0</v>
      </c>
      <c r="M70" s="116" t="s">
        <v>417</v>
      </c>
      <c r="N70" s="128" t="s">
        <v>416</v>
      </c>
      <c r="O70" s="28"/>
      <c r="P70" s="28"/>
    </row>
    <row r="71" spans="1:16" ht="114.75" x14ac:dyDescent="0.25">
      <c r="A71" s="53" t="s">
        <v>143</v>
      </c>
      <c r="B71" s="54" t="s">
        <v>144</v>
      </c>
      <c r="C71" s="96" t="s">
        <v>74</v>
      </c>
      <c r="D71" s="55" t="s">
        <v>48</v>
      </c>
      <c r="E71" s="56">
        <f t="shared" si="2"/>
        <v>500</v>
      </c>
      <c r="F71" s="57">
        <v>0</v>
      </c>
      <c r="G71" s="58">
        <v>0</v>
      </c>
      <c r="H71" s="59">
        <v>500</v>
      </c>
      <c r="I71" s="60">
        <f t="shared" si="5"/>
        <v>0</v>
      </c>
      <c r="J71" s="76">
        <v>0</v>
      </c>
      <c r="K71" s="77">
        <v>0</v>
      </c>
      <c r="L71" s="78">
        <v>0</v>
      </c>
      <c r="M71" s="113" t="s">
        <v>416</v>
      </c>
      <c r="N71" s="128" t="s">
        <v>414</v>
      </c>
      <c r="O71" s="28"/>
      <c r="P71" s="28"/>
    </row>
    <row r="72" spans="1:16" ht="102" x14ac:dyDescent="0.25">
      <c r="A72" s="53" t="s">
        <v>145</v>
      </c>
      <c r="B72" s="54" t="s">
        <v>146</v>
      </c>
      <c r="C72" s="96" t="s">
        <v>147</v>
      </c>
      <c r="D72" s="55" t="s">
        <v>48</v>
      </c>
      <c r="E72" s="56">
        <f t="shared" si="2"/>
        <v>9691</v>
      </c>
      <c r="F72" s="57">
        <v>0</v>
      </c>
      <c r="G72" s="58">
        <v>0</v>
      </c>
      <c r="H72" s="59">
        <v>9691</v>
      </c>
      <c r="I72" s="60">
        <f t="shared" si="5"/>
        <v>11445.45</v>
      </c>
      <c r="J72" s="154">
        <v>1127.1099999999999</v>
      </c>
      <c r="K72" s="155">
        <v>0</v>
      </c>
      <c r="L72" s="153">
        <v>10318.34</v>
      </c>
      <c r="M72" s="116" t="s">
        <v>415</v>
      </c>
      <c r="N72" s="128" t="s">
        <v>416</v>
      </c>
      <c r="O72" s="28"/>
      <c r="P72" s="28"/>
    </row>
    <row r="73" spans="1:16" ht="51" x14ac:dyDescent="0.25">
      <c r="A73" s="53" t="s">
        <v>148</v>
      </c>
      <c r="B73" s="54" t="s">
        <v>149</v>
      </c>
      <c r="C73" s="96"/>
      <c r="D73" s="55"/>
      <c r="E73" s="56">
        <f t="shared" si="2"/>
        <v>36621.82</v>
      </c>
      <c r="F73" s="56">
        <f>F74+F80+F81</f>
        <v>0</v>
      </c>
      <c r="G73" s="56">
        <f t="shared" ref="G73:H73" si="19">G74+G80+G81</f>
        <v>36333.82</v>
      </c>
      <c r="H73" s="56">
        <f t="shared" si="19"/>
        <v>288</v>
      </c>
      <c r="I73" s="60">
        <f>I74+I80+I81</f>
        <v>5371.96</v>
      </c>
      <c r="J73" s="60">
        <f>J74+J80+J81</f>
        <v>2288.0500000000002</v>
      </c>
      <c r="K73" s="60">
        <f>K74+K80+K81</f>
        <v>2425.0500000000002</v>
      </c>
      <c r="L73" s="60">
        <f>L74+L80+L81</f>
        <v>658.86000000000013</v>
      </c>
      <c r="M73" s="126"/>
      <c r="N73" s="126"/>
      <c r="O73" s="28"/>
      <c r="P73" s="28"/>
    </row>
    <row r="74" spans="1:16" ht="51" x14ac:dyDescent="0.25">
      <c r="A74" s="53" t="s">
        <v>150</v>
      </c>
      <c r="B74" s="81" t="s">
        <v>151</v>
      </c>
      <c r="C74" s="96" t="s">
        <v>74</v>
      </c>
      <c r="D74" s="55" t="s">
        <v>48</v>
      </c>
      <c r="E74" s="56">
        <f t="shared" si="2"/>
        <v>36333.82</v>
      </c>
      <c r="F74" s="105">
        <f>SUM(F75:F79)</f>
        <v>0</v>
      </c>
      <c r="G74" s="105">
        <f t="shared" ref="G74:H74" si="20">SUM(G75:G79)</f>
        <v>36333.82</v>
      </c>
      <c r="H74" s="105">
        <f t="shared" si="20"/>
        <v>0</v>
      </c>
      <c r="I74" s="60">
        <f>I75+I76+I77+I78+I79</f>
        <v>5371.96</v>
      </c>
      <c r="J74" s="61">
        <f>J75+J76+J77+J78+J79</f>
        <v>2288.0500000000002</v>
      </c>
      <c r="K74" s="61">
        <f t="shared" ref="K74:L74" si="21">K75+K76+K77+K78+K79</f>
        <v>2425.0500000000002</v>
      </c>
      <c r="L74" s="61">
        <f t="shared" si="21"/>
        <v>658.86000000000013</v>
      </c>
      <c r="M74" s="113" t="s">
        <v>416</v>
      </c>
      <c r="N74" s="128" t="s">
        <v>416</v>
      </c>
      <c r="O74" s="28"/>
      <c r="P74" s="28"/>
    </row>
    <row r="75" spans="1:16" ht="76.5" x14ac:dyDescent="0.25">
      <c r="A75" s="62"/>
      <c r="B75" s="90" t="s">
        <v>152</v>
      </c>
      <c r="C75" s="97" t="s">
        <v>74</v>
      </c>
      <c r="D75" s="86" t="s">
        <v>48</v>
      </c>
      <c r="E75" s="65">
        <f t="shared" si="2"/>
        <v>21206.57</v>
      </c>
      <c r="F75" s="66">
        <v>0</v>
      </c>
      <c r="G75" s="67">
        <v>21206.57</v>
      </c>
      <c r="H75" s="68">
        <v>0</v>
      </c>
      <c r="I75" s="69">
        <f t="shared" si="5"/>
        <v>1141.72</v>
      </c>
      <c r="J75" s="150">
        <v>892.29</v>
      </c>
      <c r="K75" s="151">
        <v>0</v>
      </c>
      <c r="L75" s="152">
        <v>249.43</v>
      </c>
      <c r="M75" s="116" t="s">
        <v>415</v>
      </c>
      <c r="N75" s="140" t="s">
        <v>424</v>
      </c>
      <c r="O75" s="28"/>
      <c r="P75" s="28"/>
    </row>
    <row r="76" spans="1:16" ht="63.75" x14ac:dyDescent="0.25">
      <c r="A76" s="62"/>
      <c r="B76" s="90" t="s">
        <v>153</v>
      </c>
      <c r="C76" s="97" t="s">
        <v>74</v>
      </c>
      <c r="D76" s="86" t="s">
        <v>48</v>
      </c>
      <c r="E76" s="65">
        <f t="shared" ref="E76:E81" si="22">SUM(F76:H76)</f>
        <v>11808.56</v>
      </c>
      <c r="F76" s="66">
        <v>0</v>
      </c>
      <c r="G76" s="67">
        <v>11808.56</v>
      </c>
      <c r="H76" s="68">
        <v>0</v>
      </c>
      <c r="I76" s="69">
        <f t="shared" si="5"/>
        <v>1662.51</v>
      </c>
      <c r="J76" s="150">
        <v>1395.76</v>
      </c>
      <c r="K76" s="151">
        <v>0</v>
      </c>
      <c r="L76" s="152">
        <v>266.75</v>
      </c>
      <c r="M76" s="116" t="s">
        <v>415</v>
      </c>
      <c r="N76" s="140" t="s">
        <v>425</v>
      </c>
      <c r="O76" s="28"/>
      <c r="P76" s="28"/>
    </row>
    <row r="77" spans="1:16" ht="51" x14ac:dyDescent="0.25">
      <c r="A77" s="62"/>
      <c r="B77" s="90" t="s">
        <v>154</v>
      </c>
      <c r="C77" s="97" t="s">
        <v>74</v>
      </c>
      <c r="D77" s="86" t="s">
        <v>48</v>
      </c>
      <c r="E77" s="65">
        <f t="shared" si="22"/>
        <v>793.18</v>
      </c>
      <c r="F77" s="66">
        <v>0</v>
      </c>
      <c r="G77" s="67">
        <v>793.18</v>
      </c>
      <c r="H77" s="68">
        <v>0</v>
      </c>
      <c r="I77" s="69">
        <f t="shared" si="5"/>
        <v>325.41000000000003</v>
      </c>
      <c r="J77" s="150">
        <v>0</v>
      </c>
      <c r="K77" s="151">
        <v>325.41000000000003</v>
      </c>
      <c r="L77" s="152">
        <v>0</v>
      </c>
      <c r="M77" s="116" t="s">
        <v>415</v>
      </c>
      <c r="N77" s="142" t="s">
        <v>566</v>
      </c>
      <c r="O77" s="28"/>
      <c r="P77" s="28"/>
    </row>
    <row r="78" spans="1:16" ht="38.25" x14ac:dyDescent="0.25">
      <c r="A78" s="62"/>
      <c r="B78" s="63" t="s">
        <v>155</v>
      </c>
      <c r="C78" s="97" t="s">
        <v>74</v>
      </c>
      <c r="D78" s="86" t="s">
        <v>48</v>
      </c>
      <c r="E78" s="65">
        <f t="shared" si="22"/>
        <v>2016.26</v>
      </c>
      <c r="F78" s="66">
        <v>0</v>
      </c>
      <c r="G78" s="67">
        <v>2016.26</v>
      </c>
      <c r="H78" s="68">
        <v>0</v>
      </c>
      <c r="I78" s="69">
        <f>SUM(J78:L78)</f>
        <v>1688.97</v>
      </c>
      <c r="J78" s="150">
        <v>0</v>
      </c>
      <c r="K78" s="151">
        <v>1546.29</v>
      </c>
      <c r="L78" s="152">
        <v>142.68</v>
      </c>
      <c r="M78" s="116" t="s">
        <v>415</v>
      </c>
      <c r="N78" s="128" t="s">
        <v>565</v>
      </c>
      <c r="O78" s="28"/>
      <c r="P78" s="28"/>
    </row>
    <row r="79" spans="1:16" ht="51" x14ac:dyDescent="0.25">
      <c r="A79" s="62"/>
      <c r="B79" s="63" t="s">
        <v>156</v>
      </c>
      <c r="C79" s="97" t="s">
        <v>74</v>
      </c>
      <c r="D79" s="86" t="s">
        <v>48</v>
      </c>
      <c r="E79" s="65">
        <f t="shared" si="22"/>
        <v>509.25</v>
      </c>
      <c r="F79" s="66">
        <v>0</v>
      </c>
      <c r="G79" s="67">
        <v>509.25</v>
      </c>
      <c r="H79" s="68">
        <v>0</v>
      </c>
      <c r="I79" s="69">
        <f>SUM(J79:L79)</f>
        <v>553.35</v>
      </c>
      <c r="J79" s="150">
        <v>0</v>
      </c>
      <c r="K79" s="71">
        <v>553.35</v>
      </c>
      <c r="L79" s="152">
        <v>0</v>
      </c>
      <c r="M79" s="116" t="s">
        <v>415</v>
      </c>
      <c r="N79" s="148" t="s">
        <v>567</v>
      </c>
      <c r="O79" s="28"/>
      <c r="P79" s="28"/>
    </row>
    <row r="80" spans="1:16" ht="60" x14ac:dyDescent="0.25">
      <c r="A80" s="53" t="s">
        <v>157</v>
      </c>
      <c r="B80" s="81" t="s">
        <v>158</v>
      </c>
      <c r="C80" s="96" t="s">
        <v>159</v>
      </c>
      <c r="D80" s="55" t="s">
        <v>48</v>
      </c>
      <c r="E80" s="56">
        <f t="shared" si="22"/>
        <v>0</v>
      </c>
      <c r="F80" s="57">
        <v>0</v>
      </c>
      <c r="G80" s="58">
        <v>0</v>
      </c>
      <c r="H80" s="59">
        <v>0</v>
      </c>
      <c r="I80" s="60">
        <f>SUM(J80:L80)</f>
        <v>0</v>
      </c>
      <c r="J80" s="76">
        <v>0</v>
      </c>
      <c r="K80" s="77">
        <v>0</v>
      </c>
      <c r="L80" s="72">
        <v>0</v>
      </c>
      <c r="M80" s="116" t="s">
        <v>417</v>
      </c>
      <c r="N80" s="128" t="s">
        <v>416</v>
      </c>
      <c r="O80" s="28"/>
      <c r="P80" s="28"/>
    </row>
    <row r="81" spans="1:16" ht="102" x14ac:dyDescent="0.25">
      <c r="A81" s="53" t="s">
        <v>160</v>
      </c>
      <c r="B81" s="54" t="s">
        <v>161</v>
      </c>
      <c r="C81" s="96" t="s">
        <v>74</v>
      </c>
      <c r="D81" s="55" t="s">
        <v>48</v>
      </c>
      <c r="E81" s="56">
        <f t="shared" si="22"/>
        <v>288</v>
      </c>
      <c r="F81" s="57">
        <v>0</v>
      </c>
      <c r="G81" s="58">
        <v>0</v>
      </c>
      <c r="H81" s="59">
        <v>288</v>
      </c>
      <c r="I81" s="60">
        <f>SUM(J81:L81)</f>
        <v>0</v>
      </c>
      <c r="J81" s="76">
        <v>0</v>
      </c>
      <c r="K81" s="77">
        <v>0</v>
      </c>
      <c r="L81" s="78">
        <v>0</v>
      </c>
      <c r="M81" s="113" t="s">
        <v>419</v>
      </c>
      <c r="N81" s="128" t="s">
        <v>420</v>
      </c>
      <c r="O81" s="28"/>
      <c r="P81" s="28"/>
    </row>
    <row r="82" spans="1:16" x14ac:dyDescent="0.25">
      <c r="A82" s="2"/>
      <c r="B82" s="260" t="s">
        <v>15</v>
      </c>
      <c r="C82" s="261"/>
      <c r="D82" s="35"/>
      <c r="E82" s="36"/>
      <c r="F82" s="37"/>
      <c r="G82" s="36"/>
      <c r="H82" s="38"/>
      <c r="I82" s="39"/>
      <c r="J82" s="38"/>
      <c r="K82" s="39"/>
      <c r="L82" s="38"/>
      <c r="M82" s="117"/>
      <c r="N82" s="132"/>
      <c r="O82" s="28"/>
      <c r="P82" s="28"/>
    </row>
    <row r="83" spans="1:16" x14ac:dyDescent="0.25">
      <c r="A83" s="2"/>
      <c r="B83" s="262" t="s">
        <v>19</v>
      </c>
      <c r="C83" s="263"/>
      <c r="D83" s="125">
        <v>54</v>
      </c>
      <c r="E83" s="123"/>
      <c r="F83" s="41"/>
      <c r="G83" s="40"/>
      <c r="H83" s="42"/>
      <c r="I83" s="43"/>
      <c r="J83" s="42"/>
      <c r="K83" s="43"/>
      <c r="L83" s="42"/>
      <c r="M83" s="118"/>
      <c r="N83" s="133"/>
      <c r="O83" s="28"/>
      <c r="P83" s="28"/>
    </row>
    <row r="84" spans="1:16" x14ac:dyDescent="0.25">
      <c r="A84" s="2"/>
      <c r="B84" s="264" t="s">
        <v>16</v>
      </c>
      <c r="C84" s="265"/>
      <c r="D84" s="125">
        <v>39</v>
      </c>
      <c r="E84" s="123"/>
      <c r="F84" s="41"/>
      <c r="G84" s="40"/>
      <c r="H84" s="42"/>
      <c r="I84" s="43"/>
      <c r="J84" s="42"/>
      <c r="K84" s="43"/>
      <c r="L84" s="42"/>
      <c r="M84" s="118"/>
      <c r="N84" s="133"/>
      <c r="O84" s="28"/>
      <c r="P84" s="28"/>
    </row>
    <row r="85" spans="1:16" x14ac:dyDescent="0.25">
      <c r="A85" s="2"/>
      <c r="B85" s="266" t="s">
        <v>17</v>
      </c>
      <c r="C85" s="267"/>
      <c r="D85" s="129">
        <v>30</v>
      </c>
      <c r="E85" s="124"/>
      <c r="F85" s="45"/>
      <c r="G85" s="44"/>
      <c r="H85" s="46"/>
      <c r="I85" s="47"/>
      <c r="J85" s="46"/>
      <c r="K85" s="47"/>
      <c r="L85" s="46"/>
      <c r="M85" s="119"/>
      <c r="N85" s="134"/>
      <c r="O85" s="28"/>
      <c r="P85" s="28"/>
    </row>
    <row r="86" spans="1:16" x14ac:dyDescent="0.25">
      <c r="B86" s="259" t="s">
        <v>18</v>
      </c>
      <c r="C86" s="259"/>
      <c r="D86" s="25"/>
      <c r="E86" s="48">
        <f>E73+E63+E42+E31+E11</f>
        <v>274053.2</v>
      </c>
      <c r="F86" s="48">
        <f t="shared" ref="F86:L86" si="23">F73+F63+F42+F31+F11</f>
        <v>0</v>
      </c>
      <c r="G86" s="48">
        <f t="shared" si="23"/>
        <v>53238.8</v>
      </c>
      <c r="H86" s="48">
        <f t="shared" si="23"/>
        <v>220814.4</v>
      </c>
      <c r="I86" s="48">
        <f t="shared" si="23"/>
        <v>100652.15</v>
      </c>
      <c r="J86" s="48">
        <f>J73+J63+J42+J31+J11</f>
        <v>28163.310000000005</v>
      </c>
      <c r="K86" s="147">
        <f>K73+K63+K42+K31+K11</f>
        <v>10735.97</v>
      </c>
      <c r="L86" s="48">
        <f t="shared" si="23"/>
        <v>61752.87000000001</v>
      </c>
      <c r="M86" s="120"/>
      <c r="N86" s="135"/>
      <c r="O86" s="28"/>
      <c r="P86" s="28"/>
    </row>
    <row r="87" spans="1:16" s="104" customFormat="1" x14ac:dyDescent="0.25">
      <c r="A87" s="2"/>
      <c r="B87" s="93"/>
      <c r="C87" s="27"/>
      <c r="D87" s="27"/>
      <c r="E87" s="31"/>
      <c r="F87" s="31"/>
      <c r="G87" s="31"/>
      <c r="H87" s="26"/>
      <c r="I87" s="26"/>
      <c r="J87" s="26"/>
      <c r="K87" s="26"/>
      <c r="L87" s="26"/>
      <c r="M87" s="114"/>
      <c r="N87" s="130"/>
      <c r="O87" s="26"/>
      <c r="P87" s="26"/>
    </row>
    <row r="88" spans="1:16" s="104" customFormat="1" x14ac:dyDescent="0.25">
      <c r="A88" s="2"/>
      <c r="B88" s="93"/>
      <c r="C88" s="27"/>
      <c r="D88" s="27"/>
      <c r="E88" s="31"/>
      <c r="F88" s="31"/>
      <c r="G88" s="31"/>
      <c r="H88" s="26"/>
      <c r="I88" s="26"/>
      <c r="J88" s="26"/>
      <c r="K88" s="26"/>
      <c r="L88" s="26"/>
      <c r="M88" s="114"/>
      <c r="N88" s="130"/>
      <c r="O88" s="26"/>
      <c r="P88" s="26"/>
    </row>
    <row r="89" spans="1:16" s="104" customFormat="1" ht="26.25" x14ac:dyDescent="0.25">
      <c r="A89" s="2"/>
      <c r="B89" s="93" t="s">
        <v>39</v>
      </c>
      <c r="C89" s="27"/>
      <c r="D89" s="27"/>
      <c r="E89" s="49"/>
      <c r="F89" s="31"/>
      <c r="G89" s="49"/>
      <c r="H89" s="26"/>
      <c r="I89" s="26"/>
      <c r="J89" s="26"/>
      <c r="K89" s="26"/>
      <c r="L89" s="26"/>
      <c r="M89" s="114"/>
      <c r="N89" s="130"/>
      <c r="O89" s="26"/>
      <c r="P89" s="26"/>
    </row>
    <row r="90" spans="1:16" s="104" customFormat="1" x14ac:dyDescent="0.25">
      <c r="A90" s="2"/>
      <c r="B90" s="93"/>
      <c r="C90" s="27"/>
      <c r="D90" s="27"/>
      <c r="E90" s="31"/>
      <c r="F90" s="31"/>
      <c r="G90" s="31"/>
      <c r="H90" s="26"/>
      <c r="I90" s="26"/>
      <c r="J90" s="26"/>
      <c r="K90" s="26"/>
      <c r="L90" s="26"/>
      <c r="M90" s="114"/>
      <c r="N90" s="130"/>
      <c r="O90" s="26"/>
      <c r="P90" s="26"/>
    </row>
    <row r="91" spans="1:16" x14ac:dyDescent="0.25">
      <c r="B91" s="94"/>
      <c r="C91" s="29"/>
      <c r="D91" s="29"/>
      <c r="E91" s="50"/>
      <c r="F91" s="50"/>
      <c r="G91" s="50"/>
      <c r="H91" s="28"/>
      <c r="I91" s="28"/>
      <c r="J91" s="28"/>
      <c r="K91" s="28"/>
      <c r="L91" s="28"/>
      <c r="O91" s="28"/>
      <c r="P91" s="28"/>
    </row>
    <row r="92" spans="1:16" x14ac:dyDescent="0.25">
      <c r="B92" s="268" t="s">
        <v>421</v>
      </c>
      <c r="C92" s="268"/>
      <c r="D92" s="268"/>
      <c r="E92" s="269" t="s">
        <v>40</v>
      </c>
      <c r="F92" s="270"/>
      <c r="G92" s="271"/>
      <c r="H92" s="255" t="s">
        <v>41</v>
      </c>
      <c r="I92" s="255"/>
      <c r="J92" s="255"/>
      <c r="K92" s="28"/>
      <c r="L92" s="28"/>
      <c r="O92" s="28"/>
      <c r="P92" s="28"/>
    </row>
    <row r="93" spans="1:16" ht="28.5" x14ac:dyDescent="0.25">
      <c r="B93" s="51" t="s">
        <v>12</v>
      </c>
      <c r="C93" s="51" t="s">
        <v>13</v>
      </c>
      <c r="D93" s="51" t="s">
        <v>14</v>
      </c>
      <c r="E93" s="52" t="s">
        <v>12</v>
      </c>
      <c r="F93" s="52" t="s">
        <v>13</v>
      </c>
      <c r="G93" s="52" t="s">
        <v>14</v>
      </c>
      <c r="H93" s="52" t="s">
        <v>12</v>
      </c>
      <c r="I93" s="52" t="s">
        <v>13</v>
      </c>
      <c r="J93" s="52" t="s">
        <v>14</v>
      </c>
      <c r="K93" s="28"/>
      <c r="L93" s="28"/>
      <c r="O93" s="28"/>
      <c r="P93" s="28"/>
    </row>
    <row r="94" spans="1:16" x14ac:dyDescent="0.25">
      <c r="B94" s="91">
        <f>C94+D94</f>
        <v>238345</v>
      </c>
      <c r="C94" s="138">
        <v>17530.599999999999</v>
      </c>
      <c r="D94" s="110">
        <f>F86+H86</f>
        <v>220814.4</v>
      </c>
      <c r="E94" s="110">
        <f>F94+G94</f>
        <v>100652.15000000002</v>
      </c>
      <c r="F94" s="110">
        <f>K86</f>
        <v>10735.97</v>
      </c>
      <c r="G94" s="111">
        <f>J86+L86</f>
        <v>89916.180000000022</v>
      </c>
      <c r="H94" s="112">
        <f>I94+J94</f>
        <v>-137692.84999999998</v>
      </c>
      <c r="I94" s="112">
        <f>F94-C94</f>
        <v>-6794.6299999999992</v>
      </c>
      <c r="J94" s="112">
        <f>G94-D94</f>
        <v>-130898.21999999997</v>
      </c>
      <c r="K94" s="28"/>
      <c r="L94" s="28"/>
      <c r="O94" s="28"/>
      <c r="P94" s="28"/>
    </row>
    <row r="95" spans="1:16" x14ac:dyDescent="0.25">
      <c r="B95" s="94"/>
      <c r="C95" s="29"/>
      <c r="D95" s="29"/>
      <c r="E95" s="50"/>
      <c r="F95" s="50"/>
      <c r="G95" s="50"/>
      <c r="H95" s="28"/>
      <c r="I95" s="28"/>
      <c r="J95" s="28"/>
      <c r="K95" s="28"/>
      <c r="L95" s="28"/>
      <c r="O95" s="28"/>
      <c r="P95" s="28"/>
    </row>
    <row r="96" spans="1:16" x14ac:dyDescent="0.25">
      <c r="B96" s="94"/>
      <c r="C96" s="121"/>
      <c r="D96" s="29"/>
      <c r="E96" s="50"/>
      <c r="F96" s="50"/>
      <c r="G96" s="50"/>
      <c r="H96" s="28"/>
      <c r="I96" s="122"/>
      <c r="J96" s="28"/>
      <c r="K96" s="28"/>
      <c r="L96" s="28"/>
      <c r="O96" s="28"/>
      <c r="P96" s="28"/>
    </row>
    <row r="97" spans="2:16" ht="16.5" x14ac:dyDescent="0.25">
      <c r="B97" s="94"/>
      <c r="C97" s="29"/>
      <c r="D97" s="139"/>
      <c r="E97" s="50"/>
      <c r="F97" s="50"/>
      <c r="G97" s="50"/>
      <c r="H97" s="28"/>
      <c r="I97" s="28"/>
      <c r="J97" s="28"/>
      <c r="K97" s="28"/>
      <c r="L97" s="28"/>
      <c r="O97" s="28"/>
      <c r="P97" s="28"/>
    </row>
    <row r="98" spans="2:16" x14ac:dyDescent="0.25">
      <c r="B98" s="94"/>
      <c r="C98" s="29"/>
      <c r="D98" s="29"/>
      <c r="E98" s="50"/>
      <c r="F98" s="50"/>
      <c r="G98" s="50"/>
      <c r="H98" s="28"/>
      <c r="I98" s="28"/>
      <c r="J98" s="28"/>
      <c r="K98" s="28"/>
      <c r="L98" s="28"/>
      <c r="O98" s="28"/>
      <c r="P98" s="28"/>
    </row>
    <row r="99" spans="2:16" ht="31.5" customHeight="1" x14ac:dyDescent="0.25">
      <c r="B99" s="249" t="s">
        <v>570</v>
      </c>
      <c r="C99" s="249"/>
      <c r="D99" s="241"/>
      <c r="E99" s="242"/>
      <c r="H99" s="250" t="s">
        <v>571</v>
      </c>
      <c r="I99" s="250"/>
      <c r="J99" s="250"/>
      <c r="K99" s="250"/>
      <c r="L99" s="28"/>
      <c r="O99" s="28"/>
      <c r="P99" s="28"/>
    </row>
    <row r="100" spans="2:16" x14ac:dyDescent="0.25">
      <c r="B100" s="243"/>
      <c r="C100" s="241"/>
      <c r="D100" s="241"/>
      <c r="E100" s="242"/>
      <c r="H100" s="243"/>
      <c r="I100" s="243"/>
      <c r="J100" s="28"/>
      <c r="K100" s="28"/>
      <c r="L100" s="28"/>
      <c r="O100" s="28"/>
      <c r="P100" s="28"/>
    </row>
    <row r="101" spans="2:16" ht="21.75" customHeight="1" x14ac:dyDescent="0.25">
      <c r="B101" s="249" t="s">
        <v>572</v>
      </c>
      <c r="C101" s="249"/>
      <c r="D101" s="241"/>
      <c r="E101" s="242"/>
      <c r="H101" s="251" t="s">
        <v>573</v>
      </c>
      <c r="I101" s="251"/>
      <c r="J101" s="251"/>
      <c r="K101" s="251"/>
      <c r="L101" s="28"/>
      <c r="O101" s="28"/>
      <c r="P101" s="28"/>
    </row>
    <row r="102" spans="2:16" x14ac:dyDescent="0.25">
      <c r="B102" s="94"/>
      <c r="C102" s="29"/>
      <c r="D102" s="29"/>
      <c r="E102" s="50"/>
      <c r="F102" s="50"/>
      <c r="G102" s="50"/>
      <c r="H102" s="28"/>
      <c r="I102" s="28"/>
      <c r="J102" s="28"/>
      <c r="K102" s="28"/>
      <c r="L102" s="28"/>
      <c r="O102" s="28"/>
      <c r="P102" s="28"/>
    </row>
    <row r="103" spans="2:16" x14ac:dyDescent="0.25">
      <c r="B103" s="94"/>
      <c r="C103" s="29"/>
      <c r="D103" s="29"/>
      <c r="E103" s="50"/>
      <c r="F103" s="50"/>
      <c r="G103" s="50"/>
      <c r="H103" s="28"/>
      <c r="I103" s="28"/>
      <c r="J103" s="28"/>
      <c r="K103" s="28"/>
      <c r="L103" s="28"/>
      <c r="O103" s="28"/>
      <c r="P103" s="28"/>
    </row>
    <row r="104" spans="2:16" x14ac:dyDescent="0.25">
      <c r="B104" s="94"/>
      <c r="C104" s="29"/>
      <c r="D104" s="29"/>
      <c r="E104" s="50"/>
      <c r="F104" s="50"/>
      <c r="G104" s="50"/>
      <c r="H104" s="28"/>
      <c r="I104" s="28"/>
      <c r="J104" s="28"/>
      <c r="K104" s="28"/>
      <c r="L104" s="28"/>
      <c r="O104" s="28"/>
      <c r="P104" s="28"/>
    </row>
    <row r="105" spans="2:16" x14ac:dyDescent="0.25">
      <c r="B105" s="94"/>
      <c r="C105" s="29"/>
      <c r="D105" s="29"/>
      <c r="E105" s="50"/>
      <c r="F105" s="50"/>
      <c r="G105" s="50"/>
      <c r="H105" s="28"/>
      <c r="I105" s="28"/>
      <c r="J105" s="28"/>
      <c r="K105" s="28"/>
      <c r="L105" s="28"/>
      <c r="O105" s="28"/>
      <c r="P105" s="28"/>
    </row>
  </sheetData>
  <sheetProtection selectLockedCells="1" selectUnlockedCells="1"/>
  <mergeCells count="27">
    <mergeCell ref="N6:N8"/>
    <mergeCell ref="M6:M8"/>
    <mergeCell ref="H92:J92"/>
    <mergeCell ref="B1:P1"/>
    <mergeCell ref="B2:P2"/>
    <mergeCell ref="B4:P4"/>
    <mergeCell ref="B86:C86"/>
    <mergeCell ref="B6:B8"/>
    <mergeCell ref="C6:C8"/>
    <mergeCell ref="D6:D8"/>
    <mergeCell ref="E6:H6"/>
    <mergeCell ref="B82:C82"/>
    <mergeCell ref="B83:C83"/>
    <mergeCell ref="B84:C84"/>
    <mergeCell ref="B85:C85"/>
    <mergeCell ref="B92:D92"/>
    <mergeCell ref="E92:G92"/>
    <mergeCell ref="I6:L6"/>
    <mergeCell ref="E7:E8"/>
    <mergeCell ref="F7:H7"/>
    <mergeCell ref="I7:I8"/>
    <mergeCell ref="J7:L7"/>
    <mergeCell ref="B99:C99"/>
    <mergeCell ref="B101:C101"/>
    <mergeCell ref="H99:K99"/>
    <mergeCell ref="H101:K101"/>
    <mergeCell ref="B10:N10"/>
  </mergeCells>
  <pageMargins left="3.937007874015748E-2" right="3.937007874015748E-2" top="0.55118110236220474" bottom="0.55118110236220474" header="0.31496062992125984" footer="0.31496062992125984"/>
  <pageSetup paperSize="9" scale="5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N188"/>
  <sheetViews>
    <sheetView zoomScale="93" zoomScaleNormal="93" workbookViewId="0">
      <pane xSplit="6" ySplit="11" topLeftCell="G176" activePane="bottomRight" state="frozen"/>
      <selection pane="topRight" activeCell="G1" sqref="G1"/>
      <selection pane="bottomLeft" activeCell="A12" sqref="A12"/>
      <selection pane="bottomRight" activeCell="H189" sqref="H189"/>
    </sheetView>
  </sheetViews>
  <sheetFormatPr defaultColWidth="9.140625" defaultRowHeight="11.25" x14ac:dyDescent="0.2"/>
  <cols>
    <col min="1" max="1" width="4.85546875" style="201" customWidth="1"/>
    <col min="2" max="2" width="17.42578125" style="160" customWidth="1"/>
    <col min="3" max="3" width="13.5703125" style="160" customWidth="1"/>
    <col min="4" max="4" width="24.140625" style="238" customWidth="1"/>
    <col min="5" max="5" width="8.85546875" style="239" customWidth="1"/>
    <col min="6" max="6" width="9.140625" style="160" customWidth="1"/>
    <col min="7" max="7" width="12.5703125" style="160" customWidth="1"/>
    <col min="8" max="8" width="11.5703125" style="160" customWidth="1"/>
    <col min="9" max="9" width="37" style="160" customWidth="1"/>
    <col min="10" max="10" width="11.5703125" style="178" customWidth="1"/>
    <col min="11" max="16384" width="9.140625" style="160"/>
  </cols>
  <sheetData>
    <row r="2" spans="1:14" x14ac:dyDescent="0.2">
      <c r="B2" s="273" t="s">
        <v>30</v>
      </c>
      <c r="C2" s="273"/>
      <c r="D2" s="273"/>
      <c r="E2" s="273"/>
      <c r="F2" s="273"/>
      <c r="G2" s="273"/>
      <c r="H2" s="273"/>
      <c r="I2" s="273"/>
      <c r="J2" s="177"/>
      <c r="K2" s="202"/>
      <c r="L2" s="202"/>
      <c r="M2" s="202"/>
      <c r="N2" s="202"/>
    </row>
    <row r="3" spans="1:14" x14ac:dyDescent="0.2">
      <c r="B3" s="274" t="s">
        <v>222</v>
      </c>
      <c r="C3" s="274"/>
      <c r="D3" s="274"/>
      <c r="E3" s="274"/>
      <c r="F3" s="274"/>
      <c r="G3" s="274"/>
      <c r="H3" s="274"/>
      <c r="I3" s="274"/>
    </row>
    <row r="4" spans="1:14" x14ac:dyDescent="0.2">
      <c r="B4" s="275" t="s">
        <v>504</v>
      </c>
      <c r="C4" s="275"/>
      <c r="D4" s="275"/>
      <c r="E4" s="275"/>
      <c r="F4" s="275"/>
      <c r="G4" s="275"/>
      <c r="H4" s="275"/>
      <c r="I4" s="275"/>
      <c r="J4" s="179"/>
      <c r="K4" s="203"/>
      <c r="L4" s="203"/>
      <c r="M4" s="203"/>
      <c r="N4" s="203"/>
    </row>
    <row r="5" spans="1:14" x14ac:dyDescent="0.2">
      <c r="B5" s="204"/>
      <c r="C5" s="205"/>
      <c r="D5" s="204"/>
      <c r="E5" s="204"/>
      <c r="F5" s="204"/>
    </row>
    <row r="6" spans="1:14" x14ac:dyDescent="0.2">
      <c r="B6" s="276" t="s">
        <v>27</v>
      </c>
      <c r="C6" s="278" t="s">
        <v>20</v>
      </c>
      <c r="D6" s="276" t="s">
        <v>21</v>
      </c>
      <c r="E6" s="276" t="s">
        <v>22</v>
      </c>
      <c r="F6" s="280" t="s">
        <v>26</v>
      </c>
      <c r="G6" s="280"/>
      <c r="H6" s="276" t="s">
        <v>25</v>
      </c>
      <c r="I6" s="276" t="s">
        <v>464</v>
      </c>
    </row>
    <row r="7" spans="1:14" x14ac:dyDescent="0.2">
      <c r="B7" s="277"/>
      <c r="C7" s="279"/>
      <c r="D7" s="277"/>
      <c r="E7" s="277"/>
      <c r="F7" s="183" t="s">
        <v>23</v>
      </c>
      <c r="G7" s="183" t="s">
        <v>24</v>
      </c>
      <c r="H7" s="277"/>
      <c r="I7" s="277"/>
    </row>
    <row r="8" spans="1:14" x14ac:dyDescent="0.2">
      <c r="B8" s="161">
        <v>1</v>
      </c>
      <c r="C8" s="182">
        <v>2</v>
      </c>
      <c r="D8" s="161">
        <v>3</v>
      </c>
      <c r="E8" s="161">
        <v>4</v>
      </c>
      <c r="F8" s="161">
        <v>5</v>
      </c>
      <c r="G8" s="161">
        <v>6</v>
      </c>
      <c r="H8" s="161">
        <v>7</v>
      </c>
      <c r="I8" s="161">
        <v>8</v>
      </c>
    </row>
    <row r="9" spans="1:14" x14ac:dyDescent="0.2">
      <c r="B9" s="272" t="s">
        <v>32</v>
      </c>
      <c r="C9" s="272"/>
      <c r="D9" s="272"/>
      <c r="E9" s="272"/>
      <c r="F9" s="272"/>
      <c r="G9" s="272"/>
      <c r="H9" s="272"/>
      <c r="I9" s="272"/>
    </row>
    <row r="10" spans="1:14" x14ac:dyDescent="0.2">
      <c r="B10" s="272" t="s">
        <v>33</v>
      </c>
      <c r="C10" s="272"/>
      <c r="D10" s="272"/>
      <c r="E10" s="272"/>
      <c r="F10" s="272"/>
      <c r="G10" s="272"/>
      <c r="H10" s="272"/>
      <c r="I10" s="272"/>
    </row>
    <row r="11" spans="1:14" x14ac:dyDescent="0.2">
      <c r="A11" s="206">
        <v>1</v>
      </c>
      <c r="B11" s="282" t="s">
        <v>43</v>
      </c>
      <c r="C11" s="283"/>
      <c r="D11" s="283"/>
      <c r="E11" s="283"/>
      <c r="F11" s="283"/>
      <c r="G11" s="283"/>
      <c r="H11" s="284"/>
      <c r="I11" s="162"/>
      <c r="J11" s="178" t="s">
        <v>498</v>
      </c>
    </row>
    <row r="12" spans="1:14" ht="51" customHeight="1" x14ac:dyDescent="0.2">
      <c r="A12" s="207">
        <v>1.1000000000000001</v>
      </c>
      <c r="B12" s="157" t="s">
        <v>45</v>
      </c>
      <c r="C12" s="208" t="s">
        <v>245</v>
      </c>
      <c r="D12" s="157"/>
      <c r="E12" s="183" t="s">
        <v>162</v>
      </c>
      <c r="F12" s="163">
        <f>'виконання ІС'!E13</f>
        <v>15095.59</v>
      </c>
      <c r="G12" s="163">
        <f>'виконання ІС'!I13</f>
        <v>10137.68</v>
      </c>
      <c r="H12" s="163">
        <f>G12-F12</f>
        <v>-4957.91</v>
      </c>
      <c r="I12" s="157" t="s">
        <v>484</v>
      </c>
    </row>
    <row r="13" spans="1:14" ht="45" x14ac:dyDescent="0.2">
      <c r="A13" s="209" t="s">
        <v>385</v>
      </c>
      <c r="B13" s="157" t="s">
        <v>167</v>
      </c>
      <c r="C13" s="208" t="s">
        <v>246</v>
      </c>
      <c r="D13" s="210" t="s">
        <v>227</v>
      </c>
      <c r="E13" s="183" t="s">
        <v>410</v>
      </c>
      <c r="F13" s="164">
        <v>30000</v>
      </c>
      <c r="G13" s="164">
        <v>30050</v>
      </c>
      <c r="H13" s="164">
        <f t="shared" ref="H13:H19" si="0">G13-F13</f>
        <v>50</v>
      </c>
      <c r="I13" s="157" t="s">
        <v>505</v>
      </c>
      <c r="J13" s="178">
        <v>100</v>
      </c>
    </row>
    <row r="14" spans="1:14" ht="33.75" x14ac:dyDescent="0.2">
      <c r="A14" s="211"/>
      <c r="B14" s="212"/>
      <c r="C14" s="208" t="s">
        <v>377</v>
      </c>
      <c r="D14" s="210" t="s">
        <v>228</v>
      </c>
      <c r="E14" s="183" t="s">
        <v>162</v>
      </c>
      <c r="F14" s="164">
        <v>0.5</v>
      </c>
      <c r="G14" s="156">
        <f>G12/G13</f>
        <v>0.33736039933444262</v>
      </c>
      <c r="H14" s="156">
        <f t="shared" si="0"/>
        <v>-0.16263960066555738</v>
      </c>
      <c r="I14" s="157" t="s">
        <v>450</v>
      </c>
    </row>
    <row r="15" spans="1:14" ht="56.25" x14ac:dyDescent="0.2">
      <c r="A15" s="211"/>
      <c r="B15" s="212"/>
      <c r="C15" s="208" t="s">
        <v>247</v>
      </c>
      <c r="D15" s="210" t="s">
        <v>229</v>
      </c>
      <c r="E15" s="183" t="s">
        <v>163</v>
      </c>
      <c r="F15" s="156">
        <v>86.705202312138724</v>
      </c>
      <c r="G15" s="158">
        <f>G13/33700*100</f>
        <v>89.169139465875375</v>
      </c>
      <c r="H15" s="156">
        <f>G15-F15</f>
        <v>2.4639371537366515</v>
      </c>
      <c r="I15" s="157" t="s">
        <v>506</v>
      </c>
      <c r="J15" s="178">
        <v>100</v>
      </c>
    </row>
    <row r="16" spans="1:14" ht="45" x14ac:dyDescent="0.2">
      <c r="A16" s="209" t="s">
        <v>386</v>
      </c>
      <c r="B16" s="157" t="s">
        <v>166</v>
      </c>
      <c r="C16" s="208" t="s">
        <v>245</v>
      </c>
      <c r="D16" s="157"/>
      <c r="E16" s="183" t="s">
        <v>162</v>
      </c>
      <c r="F16" s="163">
        <f>'виконання ІС'!E14</f>
        <v>9033.61</v>
      </c>
      <c r="G16" s="163">
        <f>'виконання ІС'!I14</f>
        <v>8732.2000000000007</v>
      </c>
      <c r="H16" s="165">
        <f t="shared" si="0"/>
        <v>-301.40999999999985</v>
      </c>
      <c r="I16" s="157" t="s">
        <v>451</v>
      </c>
    </row>
    <row r="17" spans="1:10" ht="112.5" x14ac:dyDescent="0.2">
      <c r="A17" s="209"/>
      <c r="B17" s="189"/>
      <c r="C17" s="208" t="s">
        <v>246</v>
      </c>
      <c r="D17" s="157" t="s">
        <v>230</v>
      </c>
      <c r="E17" s="183" t="s">
        <v>410</v>
      </c>
      <c r="F17" s="166">
        <v>24000</v>
      </c>
      <c r="G17" s="166">
        <v>19878</v>
      </c>
      <c r="H17" s="166">
        <f t="shared" si="0"/>
        <v>-4122</v>
      </c>
      <c r="I17" s="157" t="s">
        <v>508</v>
      </c>
      <c r="J17" s="178">
        <f>G17/F17*100</f>
        <v>82.825000000000003</v>
      </c>
    </row>
    <row r="18" spans="1:10" ht="33.75" x14ac:dyDescent="0.2">
      <c r="A18" s="211"/>
      <c r="B18" s="212"/>
      <c r="C18" s="208" t="s">
        <v>377</v>
      </c>
      <c r="D18" s="157" t="s">
        <v>231</v>
      </c>
      <c r="E18" s="183" t="s">
        <v>162</v>
      </c>
      <c r="F18" s="166">
        <v>0.38</v>
      </c>
      <c r="G18" s="158">
        <f>G16/G17</f>
        <v>0.43928966696850791</v>
      </c>
      <c r="H18" s="156">
        <v>0</v>
      </c>
      <c r="I18" s="157" t="s">
        <v>450</v>
      </c>
    </row>
    <row r="19" spans="1:10" ht="101.25" x14ac:dyDescent="0.2">
      <c r="A19" s="211"/>
      <c r="B19" s="212"/>
      <c r="C19" s="208" t="s">
        <v>247</v>
      </c>
      <c r="D19" s="157" t="s">
        <v>233</v>
      </c>
      <c r="E19" s="183" t="s">
        <v>163</v>
      </c>
      <c r="F19" s="156">
        <v>72.072072072072075</v>
      </c>
      <c r="G19" s="156">
        <f>G17/32200*100</f>
        <v>61.732919254658384</v>
      </c>
      <c r="H19" s="156">
        <f t="shared" si="0"/>
        <v>-10.339152817413691</v>
      </c>
      <c r="I19" s="157" t="s">
        <v>507</v>
      </c>
      <c r="J19" s="178">
        <v>61.7</v>
      </c>
    </row>
    <row r="20" spans="1:10" ht="33.75" x14ac:dyDescent="0.2">
      <c r="A20" s="209" t="s">
        <v>387</v>
      </c>
      <c r="B20" s="157" t="s">
        <v>165</v>
      </c>
      <c r="C20" s="208" t="s">
        <v>245</v>
      </c>
      <c r="D20" s="157"/>
      <c r="E20" s="183" t="s">
        <v>162</v>
      </c>
      <c r="F20" s="167">
        <f>'виконання ІС'!E15</f>
        <v>5845.58</v>
      </c>
      <c r="G20" s="167">
        <f>'виконання ІС'!I15</f>
        <v>3864.5299999999997</v>
      </c>
      <c r="H20" s="167">
        <f>G20-F20</f>
        <v>-1981.0500000000002</v>
      </c>
      <c r="I20" s="157" t="s">
        <v>452</v>
      </c>
    </row>
    <row r="21" spans="1:10" ht="33.75" x14ac:dyDescent="0.2">
      <c r="A21" s="211"/>
      <c r="B21" s="157"/>
      <c r="C21" s="208" t="s">
        <v>246</v>
      </c>
      <c r="D21" s="164" t="s">
        <v>236</v>
      </c>
      <c r="E21" s="183" t="s">
        <v>410</v>
      </c>
      <c r="F21" s="168">
        <v>8900</v>
      </c>
      <c r="G21" s="168">
        <v>12270</v>
      </c>
      <c r="H21" s="168">
        <f>G21-F21</f>
        <v>3370</v>
      </c>
      <c r="I21" s="157" t="s">
        <v>509</v>
      </c>
      <c r="J21" s="178">
        <v>100</v>
      </c>
    </row>
    <row r="22" spans="1:10" ht="33.75" x14ac:dyDescent="0.2">
      <c r="A22" s="211"/>
      <c r="B22" s="212"/>
      <c r="C22" s="208" t="s">
        <v>377</v>
      </c>
      <c r="D22" s="157" t="s">
        <v>237</v>
      </c>
      <c r="E22" s="183" t="s">
        <v>162</v>
      </c>
      <c r="F22" s="168">
        <v>0.66</v>
      </c>
      <c r="G22" s="184">
        <f>G20/G21</f>
        <v>0.31495762021189894</v>
      </c>
      <c r="H22" s="169">
        <f>G22-F22</f>
        <v>-0.34504237978810109</v>
      </c>
      <c r="I22" s="157" t="s">
        <v>450</v>
      </c>
    </row>
    <row r="23" spans="1:10" ht="56.25" x14ac:dyDescent="0.2">
      <c r="A23" s="211"/>
      <c r="B23" s="212"/>
      <c r="C23" s="157" t="s">
        <v>234</v>
      </c>
      <c r="D23" s="157" t="s">
        <v>238</v>
      </c>
      <c r="E23" s="183" t="s">
        <v>163</v>
      </c>
      <c r="F23" s="156">
        <v>84</v>
      </c>
      <c r="G23" s="185">
        <f>G21/14600*100</f>
        <v>84.041095890410958</v>
      </c>
      <c r="H23" s="169">
        <f>G23-F23</f>
        <v>4.1095890410957736E-2</v>
      </c>
      <c r="I23" s="157" t="s">
        <v>510</v>
      </c>
      <c r="J23" s="178">
        <v>100</v>
      </c>
    </row>
    <row r="24" spans="1:10" ht="90" x14ac:dyDescent="0.2">
      <c r="A24" s="213" t="s">
        <v>51</v>
      </c>
      <c r="B24" s="210" t="s">
        <v>52</v>
      </c>
      <c r="C24" s="208" t="s">
        <v>245</v>
      </c>
      <c r="D24" s="183"/>
      <c r="E24" s="183" t="s">
        <v>162</v>
      </c>
      <c r="F24" s="163">
        <f>'виконання ІС'!E16</f>
        <v>350</v>
      </c>
      <c r="G24" s="163">
        <f>'виконання ІС'!I16</f>
        <v>1222.93</v>
      </c>
      <c r="H24" s="163">
        <v>-350</v>
      </c>
      <c r="I24" s="157" t="s">
        <v>453</v>
      </c>
    </row>
    <row r="25" spans="1:10" ht="45" x14ac:dyDescent="0.2">
      <c r="A25" s="211"/>
      <c r="B25" s="212"/>
      <c r="C25" s="157" t="s">
        <v>234</v>
      </c>
      <c r="D25" s="157" t="s">
        <v>239</v>
      </c>
      <c r="E25" s="183" t="s">
        <v>163</v>
      </c>
      <c r="F25" s="164">
        <v>30</v>
      </c>
      <c r="G25" s="186">
        <v>90</v>
      </c>
      <c r="H25" s="164">
        <v>0</v>
      </c>
      <c r="I25" s="187" t="s">
        <v>511</v>
      </c>
      <c r="J25" s="178" t="s">
        <v>559</v>
      </c>
    </row>
    <row r="26" spans="1:10" ht="56.25" x14ac:dyDescent="0.2">
      <c r="A26" s="213" t="s">
        <v>54</v>
      </c>
      <c r="B26" s="210" t="s">
        <v>168</v>
      </c>
      <c r="C26" s="208" t="s">
        <v>245</v>
      </c>
      <c r="D26" s="183"/>
      <c r="E26" s="183" t="s">
        <v>162</v>
      </c>
      <c r="F26" s="163">
        <f>'виконання ІС'!E17</f>
        <v>0</v>
      </c>
      <c r="G26" s="163">
        <f>'виконання ІС'!I17</f>
        <v>2527.36</v>
      </c>
      <c r="H26" s="163">
        <f t="shared" ref="H26:H32" si="1">G26-F26</f>
        <v>2527.36</v>
      </c>
      <c r="I26" s="157" t="s">
        <v>454</v>
      </c>
    </row>
    <row r="27" spans="1:10" ht="135" x14ac:dyDescent="0.2">
      <c r="A27" s="211"/>
      <c r="B27" s="212"/>
      <c r="C27" s="208" t="s">
        <v>246</v>
      </c>
      <c r="D27" s="157" t="s">
        <v>240</v>
      </c>
      <c r="E27" s="183" t="s">
        <v>410</v>
      </c>
      <c r="F27" s="164">
        <v>2</v>
      </c>
      <c r="G27" s="164">
        <v>2</v>
      </c>
      <c r="H27" s="170">
        <f t="shared" si="1"/>
        <v>0</v>
      </c>
      <c r="I27" s="157" t="s">
        <v>512</v>
      </c>
      <c r="J27" s="178">
        <v>100</v>
      </c>
    </row>
    <row r="28" spans="1:10" ht="45" x14ac:dyDescent="0.2">
      <c r="A28" s="211"/>
      <c r="B28" s="212"/>
      <c r="C28" s="157" t="s">
        <v>234</v>
      </c>
      <c r="D28" s="157" t="s">
        <v>241</v>
      </c>
      <c r="E28" s="183" t="s">
        <v>163</v>
      </c>
      <c r="F28" s="171">
        <v>80.229591836734699</v>
      </c>
      <c r="G28" s="158">
        <f>(G13+G17+G21)/62900*100</f>
        <v>98.883942766295704</v>
      </c>
      <c r="H28" s="170">
        <f t="shared" si="1"/>
        <v>18.654350929561005</v>
      </c>
      <c r="I28" s="157" t="s">
        <v>513</v>
      </c>
      <c r="J28" s="178">
        <v>78.2</v>
      </c>
    </row>
    <row r="29" spans="1:10" ht="90" x14ac:dyDescent="0.2">
      <c r="A29" s="213" t="s">
        <v>169</v>
      </c>
      <c r="B29" s="210" t="s">
        <v>58</v>
      </c>
      <c r="C29" s="157" t="s">
        <v>248</v>
      </c>
      <c r="D29" s="183"/>
      <c r="E29" s="183" t="s">
        <v>162</v>
      </c>
      <c r="F29" s="163">
        <f>'виконання ІС'!E18</f>
        <v>2250</v>
      </c>
      <c r="G29" s="163">
        <f>'виконання ІС'!I18</f>
        <v>942.25</v>
      </c>
      <c r="H29" s="163">
        <f t="shared" si="1"/>
        <v>-1307.75</v>
      </c>
      <c r="I29" s="157" t="s">
        <v>454</v>
      </c>
    </row>
    <row r="30" spans="1:10" ht="123.75" x14ac:dyDescent="0.2">
      <c r="A30" s="211"/>
      <c r="B30" s="212"/>
      <c r="C30" s="208" t="s">
        <v>246</v>
      </c>
      <c r="D30" s="157" t="s">
        <v>242</v>
      </c>
      <c r="E30" s="183" t="s">
        <v>164</v>
      </c>
      <c r="F30" s="164">
        <v>5</v>
      </c>
      <c r="G30" s="164">
        <v>5</v>
      </c>
      <c r="H30" s="170">
        <f t="shared" si="1"/>
        <v>0</v>
      </c>
      <c r="I30" s="157" t="s">
        <v>515</v>
      </c>
      <c r="J30" s="178" t="s">
        <v>415</v>
      </c>
    </row>
    <row r="31" spans="1:10" ht="22.5" x14ac:dyDescent="0.2">
      <c r="A31" s="211"/>
      <c r="B31" s="212"/>
      <c r="C31" s="208" t="s">
        <v>377</v>
      </c>
      <c r="D31" s="157" t="s">
        <v>243</v>
      </c>
      <c r="E31" s="183" t="s">
        <v>162</v>
      </c>
      <c r="F31" s="164">
        <v>465</v>
      </c>
      <c r="G31" s="158">
        <f>G29/G30</f>
        <v>188.45</v>
      </c>
      <c r="H31" s="170">
        <f t="shared" si="1"/>
        <v>-276.55</v>
      </c>
      <c r="I31" s="157" t="s">
        <v>450</v>
      </c>
    </row>
    <row r="32" spans="1:10" ht="45" x14ac:dyDescent="0.2">
      <c r="A32" s="211"/>
      <c r="B32" s="212"/>
      <c r="C32" s="157" t="s">
        <v>234</v>
      </c>
      <c r="D32" s="157" t="s">
        <v>244</v>
      </c>
      <c r="E32" s="183" t="s">
        <v>163</v>
      </c>
      <c r="F32" s="164">
        <v>60</v>
      </c>
      <c r="G32" s="158">
        <f>(G13+G17+G21)/80500*100</f>
        <v>77.264596273291929</v>
      </c>
      <c r="H32" s="170">
        <f t="shared" si="1"/>
        <v>17.264596273291929</v>
      </c>
      <c r="I32" s="157" t="s">
        <v>516</v>
      </c>
      <c r="J32" s="178" t="s">
        <v>415</v>
      </c>
    </row>
    <row r="33" spans="1:11" ht="78.75" x14ac:dyDescent="0.2">
      <c r="A33" s="213" t="s">
        <v>59</v>
      </c>
      <c r="B33" s="210" t="s">
        <v>170</v>
      </c>
      <c r="C33" s="208" t="s">
        <v>245</v>
      </c>
      <c r="D33" s="157"/>
      <c r="E33" s="183" t="s">
        <v>162</v>
      </c>
      <c r="F33" s="163">
        <f>'виконання ІС'!E19</f>
        <v>7803.22</v>
      </c>
      <c r="G33" s="163">
        <f>'виконання ІС'!I19</f>
        <v>587.63</v>
      </c>
      <c r="H33" s="163">
        <f t="shared" ref="H33:H98" si="2">G33-F33</f>
        <v>-7215.59</v>
      </c>
      <c r="I33" s="157" t="s">
        <v>454</v>
      </c>
      <c r="K33" s="157"/>
    </row>
    <row r="34" spans="1:11" ht="33.75" x14ac:dyDescent="0.2">
      <c r="A34" s="211"/>
      <c r="B34" s="212"/>
      <c r="C34" s="208" t="s">
        <v>246</v>
      </c>
      <c r="D34" s="157" t="s">
        <v>249</v>
      </c>
      <c r="E34" s="183" t="s">
        <v>164</v>
      </c>
      <c r="F34" s="166">
        <v>9720</v>
      </c>
      <c r="G34" s="166">
        <v>1111</v>
      </c>
      <c r="H34" s="166">
        <f t="shared" si="2"/>
        <v>-8609</v>
      </c>
      <c r="I34" s="157" t="s">
        <v>514</v>
      </c>
      <c r="J34" s="178" t="s">
        <v>559</v>
      </c>
    </row>
    <row r="35" spans="1:11" ht="22.5" x14ac:dyDescent="0.2">
      <c r="A35" s="211"/>
      <c r="B35" s="212"/>
      <c r="C35" s="157" t="s">
        <v>235</v>
      </c>
      <c r="D35" s="157" t="s">
        <v>250</v>
      </c>
      <c r="E35" s="183" t="s">
        <v>162</v>
      </c>
      <c r="F35" s="156">
        <v>0.80279972565157753</v>
      </c>
      <c r="G35" s="188">
        <f>G33/G34</f>
        <v>0.52891989198919886</v>
      </c>
      <c r="H35" s="156">
        <f t="shared" si="2"/>
        <v>-0.27387983366237867</v>
      </c>
      <c r="I35" s="157" t="s">
        <v>450</v>
      </c>
    </row>
    <row r="36" spans="1:11" ht="67.5" x14ac:dyDescent="0.2">
      <c r="A36" s="211"/>
      <c r="B36" s="212"/>
      <c r="C36" s="157" t="s">
        <v>232</v>
      </c>
      <c r="D36" s="157" t="s">
        <v>251</v>
      </c>
      <c r="E36" s="183" t="s">
        <v>163</v>
      </c>
      <c r="F36" s="158">
        <v>29.189189189189189</v>
      </c>
      <c r="G36" s="158">
        <f>G34*100/33300</f>
        <v>3.3363363363363363</v>
      </c>
      <c r="H36" s="156">
        <f t="shared" si="2"/>
        <v>-25.852852852852852</v>
      </c>
      <c r="I36" s="157" t="s">
        <v>517</v>
      </c>
      <c r="J36" s="178">
        <v>3.3</v>
      </c>
    </row>
    <row r="37" spans="1:11" ht="90" x14ac:dyDescent="0.2">
      <c r="A37" s="213" t="s">
        <v>62</v>
      </c>
      <c r="B37" s="210" t="s">
        <v>63</v>
      </c>
      <c r="C37" s="208" t="s">
        <v>245</v>
      </c>
      <c r="D37" s="183"/>
      <c r="E37" s="183" t="s">
        <v>162</v>
      </c>
      <c r="F37" s="163">
        <f>'виконання ІС'!E20</f>
        <v>635</v>
      </c>
      <c r="G37" s="163">
        <f>'виконання ІС'!I20</f>
        <v>253.97</v>
      </c>
      <c r="H37" s="163">
        <f t="shared" si="2"/>
        <v>-381.03</v>
      </c>
      <c r="I37" s="157" t="s">
        <v>453</v>
      </c>
    </row>
    <row r="38" spans="1:11" ht="45" x14ac:dyDescent="0.2">
      <c r="A38" s="213"/>
      <c r="B38" s="210"/>
      <c r="C38" s="208" t="s">
        <v>246</v>
      </c>
      <c r="D38" s="210" t="s">
        <v>252</v>
      </c>
      <c r="E38" s="183" t="s">
        <v>410</v>
      </c>
      <c r="F38" s="164">
        <v>270</v>
      </c>
      <c r="G38" s="164">
        <v>285</v>
      </c>
      <c r="H38" s="170">
        <f t="shared" si="2"/>
        <v>15</v>
      </c>
      <c r="I38" s="157" t="s">
        <v>518</v>
      </c>
      <c r="J38" s="178">
        <v>100</v>
      </c>
    </row>
    <row r="39" spans="1:11" ht="45" x14ac:dyDescent="0.2">
      <c r="A39" s="213"/>
      <c r="B39" s="210"/>
      <c r="C39" s="208" t="s">
        <v>377</v>
      </c>
      <c r="D39" s="210" t="s">
        <v>253</v>
      </c>
      <c r="E39" s="183" t="s">
        <v>176</v>
      </c>
      <c r="F39" s="164">
        <v>2.35</v>
      </c>
      <c r="G39" s="156">
        <f>G37/G38</f>
        <v>0.89112280701754387</v>
      </c>
      <c r="H39" s="170">
        <f t="shared" si="2"/>
        <v>-1.4588771929824562</v>
      </c>
      <c r="I39" s="157" t="s">
        <v>445</v>
      </c>
    </row>
    <row r="40" spans="1:11" ht="67.5" x14ac:dyDescent="0.2">
      <c r="A40" s="213"/>
      <c r="B40" s="210"/>
      <c r="C40" s="208" t="s">
        <v>232</v>
      </c>
      <c r="D40" s="210" t="s">
        <v>254</v>
      </c>
      <c r="E40" s="183" t="s">
        <v>163</v>
      </c>
      <c r="F40" s="164">
        <v>90</v>
      </c>
      <c r="G40" s="156">
        <f>G38/284*100</f>
        <v>100.35211267605635</v>
      </c>
      <c r="H40" s="156">
        <f t="shared" si="2"/>
        <v>10.35211267605635</v>
      </c>
      <c r="I40" s="157" t="s">
        <v>519</v>
      </c>
      <c r="J40" s="178" t="s">
        <v>415</v>
      </c>
    </row>
    <row r="41" spans="1:11" ht="101.25" x14ac:dyDescent="0.2">
      <c r="A41" s="213" t="s">
        <v>64</v>
      </c>
      <c r="B41" s="210" t="s">
        <v>172</v>
      </c>
      <c r="C41" s="208" t="s">
        <v>245</v>
      </c>
      <c r="D41" s="183"/>
      <c r="E41" s="183" t="s">
        <v>176</v>
      </c>
      <c r="F41" s="163">
        <f>'виконання ІС'!E21</f>
        <v>2336</v>
      </c>
      <c r="G41" s="163">
        <f>'виконання ІС'!I21</f>
        <v>6132.4400000000005</v>
      </c>
      <c r="H41" s="163">
        <f t="shared" si="2"/>
        <v>3796.4400000000005</v>
      </c>
      <c r="I41" s="157" t="s">
        <v>455</v>
      </c>
    </row>
    <row r="42" spans="1:11" ht="44.25" customHeight="1" x14ac:dyDescent="0.2">
      <c r="A42" s="209" t="s">
        <v>389</v>
      </c>
      <c r="B42" s="208" t="s">
        <v>390</v>
      </c>
      <c r="C42" s="208"/>
      <c r="D42" s="157"/>
      <c r="E42" s="189"/>
      <c r="F42" s="189"/>
      <c r="G42" s="189"/>
      <c r="H42" s="156"/>
      <c r="I42" s="157" t="s">
        <v>428</v>
      </c>
      <c r="J42" s="178" t="s">
        <v>415</v>
      </c>
    </row>
    <row r="43" spans="1:11" ht="135" x14ac:dyDescent="0.2">
      <c r="A43" s="209" t="s">
        <v>391</v>
      </c>
      <c r="B43" s="208" t="s">
        <v>394</v>
      </c>
      <c r="C43" s="208" t="s">
        <v>245</v>
      </c>
      <c r="D43" s="189"/>
      <c r="E43" s="183" t="s">
        <v>176</v>
      </c>
      <c r="F43" s="184">
        <v>0</v>
      </c>
      <c r="G43" s="184">
        <v>0</v>
      </c>
      <c r="H43" s="190">
        <v>0</v>
      </c>
      <c r="I43" s="157" t="s">
        <v>428</v>
      </c>
    </row>
    <row r="44" spans="1:11" ht="56.25" x14ac:dyDescent="0.2">
      <c r="A44" s="209" t="s">
        <v>392</v>
      </c>
      <c r="B44" s="208" t="s">
        <v>393</v>
      </c>
      <c r="C44" s="208" t="s">
        <v>246</v>
      </c>
      <c r="D44" s="157" t="s">
        <v>255</v>
      </c>
      <c r="E44" s="183" t="s">
        <v>410</v>
      </c>
      <c r="F44" s="156">
        <v>0</v>
      </c>
      <c r="G44" s="156">
        <v>0</v>
      </c>
      <c r="H44" s="156">
        <f>G44-F44</f>
        <v>0</v>
      </c>
      <c r="I44" s="157" t="s">
        <v>428</v>
      </c>
      <c r="J44" s="178" t="s">
        <v>415</v>
      </c>
    </row>
    <row r="45" spans="1:11" ht="22.5" x14ac:dyDescent="0.2">
      <c r="A45" s="209"/>
      <c r="B45" s="212"/>
      <c r="C45" s="208" t="s">
        <v>377</v>
      </c>
      <c r="D45" s="157" t="s">
        <v>256</v>
      </c>
      <c r="E45" s="183" t="s">
        <v>162</v>
      </c>
      <c r="F45" s="191">
        <v>0</v>
      </c>
      <c r="G45" s="191">
        <v>0</v>
      </c>
      <c r="H45" s="156">
        <f t="shared" si="2"/>
        <v>0</v>
      </c>
      <c r="I45" s="157" t="s">
        <v>428</v>
      </c>
      <c r="J45" s="178" t="s">
        <v>415</v>
      </c>
    </row>
    <row r="46" spans="1:11" ht="45" x14ac:dyDescent="0.2">
      <c r="A46" s="209"/>
      <c r="B46" s="212"/>
      <c r="C46" s="157" t="s">
        <v>232</v>
      </c>
      <c r="D46" s="157" t="s">
        <v>257</v>
      </c>
      <c r="E46" s="183" t="s">
        <v>163</v>
      </c>
      <c r="F46" s="156">
        <v>0</v>
      </c>
      <c r="G46" s="156">
        <v>0</v>
      </c>
      <c r="H46" s="156">
        <f t="shared" si="2"/>
        <v>0</v>
      </c>
      <c r="I46" s="157" t="s">
        <v>428</v>
      </c>
      <c r="J46" s="178" t="s">
        <v>415</v>
      </c>
    </row>
    <row r="47" spans="1:11" ht="22.5" x14ac:dyDescent="0.2">
      <c r="A47" s="209" t="s">
        <v>388</v>
      </c>
      <c r="B47" s="157" t="s">
        <v>171</v>
      </c>
      <c r="C47" s="208" t="s">
        <v>245</v>
      </c>
      <c r="D47" s="189"/>
      <c r="E47" s="183" t="s">
        <v>162</v>
      </c>
      <c r="F47" s="163">
        <f>'виконання ІС'!E25</f>
        <v>2336</v>
      </c>
      <c r="G47" s="163">
        <f>'виконання ІС'!I25</f>
        <v>6132.4400000000005</v>
      </c>
      <c r="H47" s="163">
        <f t="shared" si="2"/>
        <v>3796.4400000000005</v>
      </c>
      <c r="I47" s="157"/>
    </row>
    <row r="48" spans="1:11" ht="33.75" x14ac:dyDescent="0.2">
      <c r="A48" s="209"/>
      <c r="B48" s="212"/>
      <c r="C48" s="208" t="s">
        <v>246</v>
      </c>
      <c r="D48" s="157" t="s">
        <v>258</v>
      </c>
      <c r="E48" s="183" t="s">
        <v>410</v>
      </c>
      <c r="F48" s="164">
        <v>1800</v>
      </c>
      <c r="G48" s="164">
        <v>2670</v>
      </c>
      <c r="H48" s="156">
        <f t="shared" si="2"/>
        <v>870</v>
      </c>
      <c r="I48" s="157" t="s">
        <v>520</v>
      </c>
      <c r="J48" s="178" t="s">
        <v>415</v>
      </c>
    </row>
    <row r="49" spans="1:10" ht="33.75" x14ac:dyDescent="0.2">
      <c r="A49" s="209"/>
      <c r="B49" s="212"/>
      <c r="C49" s="208" t="s">
        <v>246</v>
      </c>
      <c r="D49" s="157" t="s">
        <v>259</v>
      </c>
      <c r="E49" s="183" t="s">
        <v>410</v>
      </c>
      <c r="F49" s="164">
        <v>1400</v>
      </c>
      <c r="G49" s="164">
        <v>1273</v>
      </c>
      <c r="H49" s="156">
        <f t="shared" si="2"/>
        <v>-127</v>
      </c>
      <c r="I49" s="157" t="s">
        <v>521</v>
      </c>
      <c r="J49" s="178">
        <v>90.9</v>
      </c>
    </row>
    <row r="50" spans="1:10" ht="22.5" x14ac:dyDescent="0.2">
      <c r="A50" s="209"/>
      <c r="B50" s="212"/>
      <c r="C50" s="208" t="s">
        <v>246</v>
      </c>
      <c r="D50" s="157" t="s">
        <v>260</v>
      </c>
      <c r="E50" s="183" t="s">
        <v>410</v>
      </c>
      <c r="F50" s="164">
        <v>0</v>
      </c>
      <c r="G50" s="164">
        <v>1279</v>
      </c>
      <c r="H50" s="156">
        <f t="shared" si="2"/>
        <v>1279</v>
      </c>
      <c r="I50" s="157" t="s">
        <v>522</v>
      </c>
      <c r="J50" s="178" t="s">
        <v>415</v>
      </c>
    </row>
    <row r="51" spans="1:10" ht="33.75" x14ac:dyDescent="0.2">
      <c r="A51" s="211"/>
      <c r="B51" s="212"/>
      <c r="C51" s="208" t="s">
        <v>246</v>
      </c>
      <c r="D51" s="157" t="s">
        <v>261</v>
      </c>
      <c r="E51" s="183" t="s">
        <v>410</v>
      </c>
      <c r="F51" s="164">
        <v>400</v>
      </c>
      <c r="G51" s="164">
        <v>118</v>
      </c>
      <c r="H51" s="156">
        <f t="shared" si="2"/>
        <v>-282</v>
      </c>
      <c r="I51" s="157" t="s">
        <v>523</v>
      </c>
      <c r="J51" s="178">
        <v>12</v>
      </c>
    </row>
    <row r="52" spans="1:10" ht="22.5" x14ac:dyDescent="0.2">
      <c r="A52" s="211"/>
      <c r="B52" s="212"/>
      <c r="C52" s="208" t="s">
        <v>377</v>
      </c>
      <c r="D52" s="157" t="s">
        <v>262</v>
      </c>
      <c r="E52" s="183" t="s">
        <v>162</v>
      </c>
      <c r="F52" s="191">
        <v>1.2977777777777777</v>
      </c>
      <c r="G52" s="191">
        <f>G47/G48</f>
        <v>2.2967940074906368</v>
      </c>
      <c r="H52" s="156">
        <f t="shared" si="2"/>
        <v>0.99901622971285908</v>
      </c>
      <c r="I52" s="157" t="s">
        <v>450</v>
      </c>
    </row>
    <row r="53" spans="1:10" ht="109.5" customHeight="1" x14ac:dyDescent="0.2">
      <c r="A53" s="211"/>
      <c r="B53" s="212"/>
      <c r="C53" s="157" t="s">
        <v>395</v>
      </c>
      <c r="D53" s="157" t="s">
        <v>263</v>
      </c>
      <c r="E53" s="183" t="s">
        <v>163</v>
      </c>
      <c r="F53" s="171">
        <v>35</v>
      </c>
      <c r="G53" s="156">
        <f>G48/5782*100</f>
        <v>46.177793151158767</v>
      </c>
      <c r="H53" s="156">
        <f t="shared" si="2"/>
        <v>11.177793151158767</v>
      </c>
      <c r="I53" s="157" t="s">
        <v>524</v>
      </c>
      <c r="J53" s="178" t="s">
        <v>415</v>
      </c>
    </row>
    <row r="54" spans="1:10" ht="56.25" x14ac:dyDescent="0.2">
      <c r="A54" s="213" t="s">
        <v>75</v>
      </c>
      <c r="B54" s="210" t="s">
        <v>76</v>
      </c>
      <c r="C54" s="208" t="s">
        <v>245</v>
      </c>
      <c r="D54" s="183"/>
      <c r="E54" s="183" t="s">
        <v>176</v>
      </c>
      <c r="F54" s="163">
        <f>'виконання ІС'!E26</f>
        <v>1714.58</v>
      </c>
      <c r="G54" s="167">
        <f>'виконання ІС'!I26</f>
        <v>1274.99</v>
      </c>
      <c r="H54" s="163">
        <f t="shared" si="2"/>
        <v>-439.58999999999992</v>
      </c>
      <c r="I54" s="157" t="s">
        <v>456</v>
      </c>
    </row>
    <row r="55" spans="1:10" ht="72.75" customHeight="1" x14ac:dyDescent="0.2">
      <c r="A55" s="209" t="s">
        <v>382</v>
      </c>
      <c r="B55" s="157" t="s">
        <v>173</v>
      </c>
      <c r="C55" s="208" t="s">
        <v>246</v>
      </c>
      <c r="D55" s="157" t="s">
        <v>173</v>
      </c>
      <c r="E55" s="183" t="s">
        <v>410</v>
      </c>
      <c r="F55" s="164">
        <v>37500</v>
      </c>
      <c r="G55" s="192">
        <v>29315</v>
      </c>
      <c r="H55" s="156">
        <f t="shared" si="2"/>
        <v>-8185</v>
      </c>
      <c r="I55" s="157" t="s">
        <v>525</v>
      </c>
      <c r="J55" s="178">
        <f>G55/F55*100</f>
        <v>78.173333333333332</v>
      </c>
    </row>
    <row r="56" spans="1:10" ht="78.75" x14ac:dyDescent="0.2">
      <c r="A56" s="209" t="s">
        <v>383</v>
      </c>
      <c r="B56" s="193" t="s">
        <v>174</v>
      </c>
      <c r="C56" s="208" t="s">
        <v>246</v>
      </c>
      <c r="D56" s="157" t="s">
        <v>265</v>
      </c>
      <c r="E56" s="183" t="s">
        <v>410</v>
      </c>
      <c r="F56" s="164">
        <v>300</v>
      </c>
      <c r="G56" s="182">
        <v>164</v>
      </c>
      <c r="H56" s="156">
        <f t="shared" si="2"/>
        <v>-136</v>
      </c>
      <c r="I56" s="157" t="s">
        <v>526</v>
      </c>
      <c r="J56" s="178">
        <v>100</v>
      </c>
    </row>
    <row r="57" spans="1:10" ht="33.75" x14ac:dyDescent="0.2">
      <c r="A57" s="211"/>
      <c r="B57" s="214"/>
      <c r="C57" s="208" t="s">
        <v>377</v>
      </c>
      <c r="D57" s="157" t="s">
        <v>264</v>
      </c>
      <c r="E57" s="183" t="s">
        <v>176</v>
      </c>
      <c r="F57" s="195">
        <v>5.7152666666666665</v>
      </c>
      <c r="G57" s="192">
        <f>G54/G56</f>
        <v>7.774329268292683</v>
      </c>
      <c r="H57" s="156">
        <f t="shared" si="2"/>
        <v>2.0590626016260165</v>
      </c>
      <c r="I57" s="157" t="s">
        <v>450</v>
      </c>
    </row>
    <row r="58" spans="1:10" ht="67.5" x14ac:dyDescent="0.2">
      <c r="A58" s="209" t="s">
        <v>384</v>
      </c>
      <c r="B58" s="193" t="s">
        <v>175</v>
      </c>
      <c r="C58" s="208" t="s">
        <v>246</v>
      </c>
      <c r="D58" s="157" t="s">
        <v>266</v>
      </c>
      <c r="E58" s="183" t="s">
        <v>410</v>
      </c>
      <c r="F58" s="164">
        <v>300</v>
      </c>
      <c r="G58" s="192">
        <v>164</v>
      </c>
      <c r="H58" s="156">
        <f t="shared" si="2"/>
        <v>-136</v>
      </c>
      <c r="I58" s="157" t="s">
        <v>527</v>
      </c>
      <c r="J58" s="178">
        <v>100</v>
      </c>
    </row>
    <row r="59" spans="1:10" ht="105" customHeight="1" x14ac:dyDescent="0.2">
      <c r="A59" s="211"/>
      <c r="B59" s="212"/>
      <c r="C59" s="157" t="s">
        <v>247</v>
      </c>
      <c r="D59" s="157" t="s">
        <v>267</v>
      </c>
      <c r="E59" s="183" t="s">
        <v>163</v>
      </c>
      <c r="F59" s="164">
        <v>0.5</v>
      </c>
      <c r="G59" s="184">
        <v>1.28</v>
      </c>
      <c r="H59" s="156">
        <f t="shared" si="2"/>
        <v>0.78</v>
      </c>
      <c r="I59" s="193" t="s">
        <v>500</v>
      </c>
    </row>
    <row r="60" spans="1:10" ht="66" customHeight="1" x14ac:dyDescent="0.2">
      <c r="A60" s="213" t="s">
        <v>177</v>
      </c>
      <c r="B60" s="210" t="s">
        <v>81</v>
      </c>
      <c r="C60" s="208" t="s">
        <v>245</v>
      </c>
      <c r="D60" s="183"/>
      <c r="E60" s="183" t="s">
        <v>176</v>
      </c>
      <c r="F60" s="215">
        <f>'виконання ІС'!E30</f>
        <v>75</v>
      </c>
      <c r="G60" s="194">
        <f>'виконання ІС'!I30</f>
        <v>80</v>
      </c>
      <c r="H60" s="163">
        <f t="shared" si="2"/>
        <v>5</v>
      </c>
      <c r="I60" s="157" t="s">
        <v>429</v>
      </c>
    </row>
    <row r="61" spans="1:10" ht="45" x14ac:dyDescent="0.2">
      <c r="A61" s="211"/>
      <c r="B61" s="212"/>
      <c r="C61" s="193" t="s">
        <v>246</v>
      </c>
      <c r="D61" s="208" t="s">
        <v>379</v>
      </c>
      <c r="E61" s="183" t="s">
        <v>410</v>
      </c>
      <c r="F61" s="164">
        <v>30</v>
      </c>
      <c r="G61" s="192">
        <v>32</v>
      </c>
      <c r="H61" s="156">
        <f t="shared" si="2"/>
        <v>2</v>
      </c>
      <c r="I61" s="157" t="s">
        <v>446</v>
      </c>
      <c r="J61" s="178" t="s">
        <v>415</v>
      </c>
    </row>
    <row r="62" spans="1:10" ht="22.5" x14ac:dyDescent="0.2">
      <c r="A62" s="211"/>
      <c r="B62" s="212"/>
      <c r="C62" s="193" t="s">
        <v>377</v>
      </c>
      <c r="D62" s="208" t="s">
        <v>380</v>
      </c>
      <c r="E62" s="183" t="s">
        <v>176</v>
      </c>
      <c r="F62" s="216">
        <v>2.5</v>
      </c>
      <c r="G62" s="195">
        <f>G60/G61</f>
        <v>2.5</v>
      </c>
      <c r="H62" s="156">
        <f t="shared" si="2"/>
        <v>0</v>
      </c>
      <c r="I62" s="157" t="s">
        <v>430</v>
      </c>
    </row>
    <row r="63" spans="1:10" ht="45" x14ac:dyDescent="0.2">
      <c r="A63" s="211"/>
      <c r="B63" s="212"/>
      <c r="C63" s="193" t="s">
        <v>247</v>
      </c>
      <c r="D63" s="208" t="s">
        <v>381</v>
      </c>
      <c r="E63" s="183" t="s">
        <v>163</v>
      </c>
      <c r="F63" s="171">
        <v>90</v>
      </c>
      <c r="G63" s="196">
        <f>G61/F61*100</f>
        <v>106.66666666666667</v>
      </c>
      <c r="H63" s="156">
        <f t="shared" si="2"/>
        <v>16.666666666666671</v>
      </c>
      <c r="I63" s="157" t="s">
        <v>431</v>
      </c>
      <c r="J63" s="178" t="s">
        <v>415</v>
      </c>
    </row>
    <row r="64" spans="1:10" x14ac:dyDescent="0.2">
      <c r="A64" s="217" t="s">
        <v>83</v>
      </c>
      <c r="B64" s="281" t="s">
        <v>84</v>
      </c>
      <c r="C64" s="281"/>
      <c r="D64" s="281"/>
      <c r="E64" s="281"/>
      <c r="F64" s="281"/>
      <c r="G64" s="281"/>
      <c r="H64" s="281"/>
      <c r="I64" s="157"/>
    </row>
    <row r="65" spans="1:10" ht="78.75" x14ac:dyDescent="0.2">
      <c r="A65" s="213" t="s">
        <v>85</v>
      </c>
      <c r="B65" s="210" t="s">
        <v>86</v>
      </c>
      <c r="C65" s="208" t="s">
        <v>245</v>
      </c>
      <c r="D65" s="183"/>
      <c r="E65" s="183" t="s">
        <v>176</v>
      </c>
      <c r="F65" s="163">
        <f>'виконання ІС'!E32</f>
        <v>5486.41</v>
      </c>
      <c r="G65" s="163">
        <f>'виконання ІС'!I32</f>
        <v>5318.58</v>
      </c>
      <c r="H65" s="163">
        <f t="shared" si="2"/>
        <v>-167.82999999999993</v>
      </c>
      <c r="I65" s="157" t="s">
        <v>463</v>
      </c>
    </row>
    <row r="66" spans="1:10" ht="67.5" x14ac:dyDescent="0.2">
      <c r="A66" s="211"/>
      <c r="B66" s="212"/>
      <c r="C66" s="208" t="s">
        <v>246</v>
      </c>
      <c r="D66" s="157" t="s">
        <v>268</v>
      </c>
      <c r="E66" s="183" t="s">
        <v>410</v>
      </c>
      <c r="F66" s="164">
        <v>60000</v>
      </c>
      <c r="G66" s="186">
        <v>93377</v>
      </c>
      <c r="H66" s="156">
        <f t="shared" si="2"/>
        <v>33377</v>
      </c>
      <c r="I66" s="157" t="s">
        <v>528</v>
      </c>
      <c r="J66" s="178" t="s">
        <v>415</v>
      </c>
    </row>
    <row r="67" spans="1:10" ht="33.75" x14ac:dyDescent="0.2">
      <c r="A67" s="211"/>
      <c r="B67" s="212"/>
      <c r="C67" s="208" t="s">
        <v>246</v>
      </c>
      <c r="D67" s="157" t="s">
        <v>269</v>
      </c>
      <c r="E67" s="183" t="s">
        <v>410</v>
      </c>
      <c r="F67" s="164">
        <v>1980</v>
      </c>
      <c r="G67" s="186">
        <v>1474</v>
      </c>
      <c r="H67" s="156">
        <f t="shared" si="2"/>
        <v>-506</v>
      </c>
      <c r="I67" s="187" t="s">
        <v>529</v>
      </c>
      <c r="J67" s="178">
        <f>G67/F67*100</f>
        <v>74.444444444444443</v>
      </c>
    </row>
    <row r="68" spans="1:10" ht="22.5" x14ac:dyDescent="0.2">
      <c r="A68" s="211"/>
      <c r="B68" s="212"/>
      <c r="C68" s="208" t="s">
        <v>377</v>
      </c>
      <c r="D68" s="157" t="s">
        <v>270</v>
      </c>
      <c r="E68" s="183" t="s">
        <v>176</v>
      </c>
      <c r="F68" s="191">
        <v>1.8618232323232322</v>
      </c>
      <c r="G68" s="191">
        <f>G65/G67</f>
        <v>3.6082632293080055</v>
      </c>
      <c r="H68" s="156">
        <f t="shared" si="2"/>
        <v>1.7464399969847733</v>
      </c>
      <c r="I68" s="157" t="s">
        <v>432</v>
      </c>
    </row>
    <row r="69" spans="1:10" ht="22.5" x14ac:dyDescent="0.2">
      <c r="A69" s="211"/>
      <c r="B69" s="212"/>
      <c r="C69" s="193" t="s">
        <v>247</v>
      </c>
      <c r="D69" s="157" t="s">
        <v>271</v>
      </c>
      <c r="E69" s="183" t="s">
        <v>163</v>
      </c>
      <c r="F69" s="156">
        <v>3.3</v>
      </c>
      <c r="G69" s="158">
        <f>G67/G66*100</f>
        <v>1.5785471797123487</v>
      </c>
      <c r="H69" s="156">
        <f t="shared" si="2"/>
        <v>-1.7214528202876511</v>
      </c>
      <c r="I69" s="157" t="s">
        <v>530</v>
      </c>
    </row>
    <row r="70" spans="1:10" ht="45" x14ac:dyDescent="0.2">
      <c r="A70" s="211"/>
      <c r="B70" s="212"/>
      <c r="C70" s="193" t="s">
        <v>247</v>
      </c>
      <c r="D70" s="210" t="s">
        <v>272</v>
      </c>
      <c r="E70" s="183" t="s">
        <v>163</v>
      </c>
      <c r="F70" s="164">
        <v>90.3</v>
      </c>
      <c r="G70" s="171">
        <f>15837/19837*100</f>
        <v>79.835660634168477</v>
      </c>
      <c r="H70" s="156">
        <f t="shared" si="2"/>
        <v>-10.46433936583152</v>
      </c>
      <c r="I70" s="157" t="s">
        <v>531</v>
      </c>
      <c r="J70" s="178">
        <v>77.7</v>
      </c>
    </row>
    <row r="71" spans="1:10" ht="101.25" x14ac:dyDescent="0.2">
      <c r="A71" s="209" t="s">
        <v>409</v>
      </c>
      <c r="B71" s="210" t="s">
        <v>178</v>
      </c>
      <c r="C71" s="208" t="s">
        <v>246</v>
      </c>
      <c r="D71" s="210" t="s">
        <v>273</v>
      </c>
      <c r="E71" s="183" t="s">
        <v>412</v>
      </c>
      <c r="F71" s="164">
        <v>12</v>
      </c>
      <c r="G71" s="164">
        <v>21</v>
      </c>
      <c r="H71" s="156">
        <f t="shared" si="2"/>
        <v>9</v>
      </c>
      <c r="I71" s="157" t="s">
        <v>501</v>
      </c>
    </row>
    <row r="72" spans="1:10" ht="56.25" x14ac:dyDescent="0.2">
      <c r="A72" s="211"/>
      <c r="B72" s="212"/>
      <c r="C72" s="193" t="s">
        <v>247</v>
      </c>
      <c r="D72" s="210" t="s">
        <v>274</v>
      </c>
      <c r="E72" s="183" t="s">
        <v>163</v>
      </c>
      <c r="F72" s="164">
        <v>0</v>
      </c>
      <c r="G72" s="164">
        <v>100</v>
      </c>
      <c r="H72" s="156">
        <v>0</v>
      </c>
      <c r="I72" s="157" t="s">
        <v>485</v>
      </c>
      <c r="J72" s="178" t="s">
        <v>415</v>
      </c>
    </row>
    <row r="73" spans="1:10" ht="101.25" x14ac:dyDescent="0.2">
      <c r="A73" s="213" t="s">
        <v>90</v>
      </c>
      <c r="B73" s="210" t="s">
        <v>91</v>
      </c>
      <c r="C73" s="164" t="s">
        <v>245</v>
      </c>
      <c r="D73" s="183"/>
      <c r="E73" s="183" t="s">
        <v>176</v>
      </c>
      <c r="F73" s="163">
        <f>'виконання ІС'!E34</f>
        <v>730.9</v>
      </c>
      <c r="G73" s="163">
        <f>'виконання ІС'!I34</f>
        <v>3213.59</v>
      </c>
      <c r="H73" s="163">
        <f t="shared" si="2"/>
        <v>2482.69</v>
      </c>
      <c r="I73" s="157" t="s">
        <v>457</v>
      </c>
    </row>
    <row r="74" spans="1:10" ht="78.75" x14ac:dyDescent="0.2">
      <c r="A74" s="209" t="s">
        <v>396</v>
      </c>
      <c r="B74" s="218" t="s">
        <v>397</v>
      </c>
      <c r="C74" s="164" t="s">
        <v>246</v>
      </c>
      <c r="D74" s="164" t="s">
        <v>275</v>
      </c>
      <c r="E74" s="183" t="s">
        <v>410</v>
      </c>
      <c r="F74" s="164">
        <v>6290</v>
      </c>
      <c r="G74" s="164">
        <v>399</v>
      </c>
      <c r="H74" s="156">
        <f t="shared" si="2"/>
        <v>-5891</v>
      </c>
      <c r="I74" s="157" t="s">
        <v>532</v>
      </c>
    </row>
    <row r="75" spans="1:10" ht="78.75" x14ac:dyDescent="0.2">
      <c r="A75" s="209" t="s">
        <v>398</v>
      </c>
      <c r="B75" s="157" t="s">
        <v>399</v>
      </c>
      <c r="C75" s="208" t="s">
        <v>377</v>
      </c>
      <c r="D75" s="157" t="s">
        <v>276</v>
      </c>
      <c r="E75" s="183" t="s">
        <v>176</v>
      </c>
      <c r="F75" s="156">
        <v>0.11620031796502385</v>
      </c>
      <c r="G75" s="186">
        <f>G73/G74</f>
        <v>8.054110275689224</v>
      </c>
      <c r="H75" s="156">
        <f t="shared" si="2"/>
        <v>7.9379099577241998</v>
      </c>
      <c r="I75" s="157" t="s">
        <v>450</v>
      </c>
    </row>
    <row r="76" spans="1:10" ht="56.25" x14ac:dyDescent="0.2">
      <c r="A76" s="209" t="s">
        <v>400</v>
      </c>
      <c r="B76" s="219" t="s">
        <v>401</v>
      </c>
      <c r="C76" s="193" t="s">
        <v>247</v>
      </c>
      <c r="D76" s="208" t="s">
        <v>277</v>
      </c>
      <c r="E76" s="199" t="s">
        <v>163</v>
      </c>
      <c r="F76" s="171">
        <v>10</v>
      </c>
      <c r="G76" s="158">
        <v>1.7</v>
      </c>
      <c r="H76" s="156">
        <f t="shared" si="2"/>
        <v>-8.3000000000000007</v>
      </c>
      <c r="I76" s="157" t="s">
        <v>497</v>
      </c>
    </row>
    <row r="77" spans="1:10" ht="45" x14ac:dyDescent="0.2">
      <c r="A77" s="213" t="s">
        <v>96</v>
      </c>
      <c r="B77" s="219" t="s">
        <v>179</v>
      </c>
      <c r="C77" s="208" t="s">
        <v>245</v>
      </c>
      <c r="D77" s="183"/>
      <c r="E77" s="161" t="s">
        <v>176</v>
      </c>
      <c r="F77" s="167">
        <f>'виконання ІС'!E38</f>
        <v>0</v>
      </c>
      <c r="G77" s="167">
        <f>'виконання ІС'!I38</f>
        <v>0</v>
      </c>
      <c r="H77" s="163">
        <f t="shared" si="2"/>
        <v>0</v>
      </c>
      <c r="I77" s="157"/>
    </row>
    <row r="78" spans="1:10" x14ac:dyDescent="0.2">
      <c r="A78" s="211"/>
      <c r="B78" s="189"/>
      <c r="C78" s="208" t="s">
        <v>246</v>
      </c>
      <c r="D78" s="183"/>
      <c r="E78" s="183" t="s">
        <v>412</v>
      </c>
      <c r="F78" s="164">
        <v>15</v>
      </c>
      <c r="G78" s="164">
        <v>15</v>
      </c>
      <c r="H78" s="156">
        <f t="shared" si="2"/>
        <v>0</v>
      </c>
      <c r="I78" s="157" t="s">
        <v>533</v>
      </c>
    </row>
    <row r="79" spans="1:10" ht="33.75" x14ac:dyDescent="0.2">
      <c r="A79" s="211"/>
      <c r="B79" s="189"/>
      <c r="C79" s="193" t="s">
        <v>247</v>
      </c>
      <c r="D79" s="208" t="s">
        <v>378</v>
      </c>
      <c r="E79" s="161" t="s">
        <v>163</v>
      </c>
      <c r="F79" s="164">
        <v>0</v>
      </c>
      <c r="G79" s="164">
        <v>100</v>
      </c>
      <c r="H79" s="156">
        <v>0</v>
      </c>
      <c r="I79" s="157" t="s">
        <v>447</v>
      </c>
    </row>
    <row r="80" spans="1:10" ht="67.5" x14ac:dyDescent="0.2">
      <c r="A80" s="207" t="s">
        <v>98</v>
      </c>
      <c r="B80" s="187" t="s">
        <v>180</v>
      </c>
      <c r="C80" s="208" t="s">
        <v>245</v>
      </c>
      <c r="D80" s="183"/>
      <c r="E80" s="161" t="s">
        <v>176</v>
      </c>
      <c r="F80" s="163">
        <f>'виконання ІС'!E39</f>
        <v>62.1</v>
      </c>
      <c r="G80" s="163">
        <f>'виконання ІС'!I39</f>
        <v>220.86</v>
      </c>
      <c r="H80" s="163">
        <f t="shared" si="2"/>
        <v>158.76000000000002</v>
      </c>
      <c r="I80" s="157" t="s">
        <v>462</v>
      </c>
    </row>
    <row r="81" spans="1:10" ht="22.5" x14ac:dyDescent="0.2">
      <c r="A81" s="220" t="s">
        <v>402</v>
      </c>
      <c r="B81" s="187" t="s">
        <v>181</v>
      </c>
      <c r="C81" s="157" t="s">
        <v>245</v>
      </c>
      <c r="D81" s="221"/>
      <c r="E81" s="183" t="s">
        <v>176</v>
      </c>
      <c r="F81" s="163">
        <f>'виконання ІС'!E40</f>
        <v>36.6</v>
      </c>
      <c r="G81" s="163">
        <f>'виконання ІС'!I40</f>
        <v>76</v>
      </c>
      <c r="H81" s="163">
        <f t="shared" si="2"/>
        <v>39.4</v>
      </c>
      <c r="I81" s="157" t="s">
        <v>454</v>
      </c>
    </row>
    <row r="82" spans="1:10" ht="56.25" x14ac:dyDescent="0.2">
      <c r="A82" s="220"/>
      <c r="B82" s="187"/>
      <c r="C82" s="208" t="s">
        <v>246</v>
      </c>
      <c r="D82" s="208" t="s">
        <v>278</v>
      </c>
      <c r="E82" s="183" t="s">
        <v>410</v>
      </c>
      <c r="F82" s="182">
        <v>30</v>
      </c>
      <c r="G82" s="182">
        <v>30</v>
      </c>
      <c r="H82" s="156">
        <f t="shared" si="2"/>
        <v>0</v>
      </c>
      <c r="I82" s="157" t="s">
        <v>534</v>
      </c>
      <c r="J82" s="178" t="s">
        <v>415</v>
      </c>
    </row>
    <row r="83" spans="1:10" ht="22.5" x14ac:dyDescent="0.2">
      <c r="A83" s="220"/>
      <c r="B83" s="187"/>
      <c r="C83" s="208" t="s">
        <v>377</v>
      </c>
      <c r="D83" s="208" t="s">
        <v>279</v>
      </c>
      <c r="E83" s="161" t="s">
        <v>176</v>
      </c>
      <c r="F83" s="182">
        <v>1.22</v>
      </c>
      <c r="G83" s="185">
        <f>G81/G82</f>
        <v>2.5333333333333332</v>
      </c>
      <c r="H83" s="156">
        <f t="shared" si="2"/>
        <v>1.3133333333333332</v>
      </c>
      <c r="I83" s="157" t="s">
        <v>450</v>
      </c>
    </row>
    <row r="84" spans="1:10" ht="45" x14ac:dyDescent="0.2">
      <c r="A84" s="220"/>
      <c r="B84" s="187"/>
      <c r="C84" s="193" t="s">
        <v>247</v>
      </c>
      <c r="D84" s="208" t="s">
        <v>280</v>
      </c>
      <c r="E84" s="161" t="s">
        <v>163</v>
      </c>
      <c r="F84" s="182">
        <v>99.9</v>
      </c>
      <c r="G84" s="182">
        <v>100</v>
      </c>
      <c r="H84" s="156">
        <f t="shared" si="2"/>
        <v>9.9999999999994316E-2</v>
      </c>
      <c r="I84" s="157" t="s">
        <v>433</v>
      </c>
      <c r="J84" s="178" t="s">
        <v>415</v>
      </c>
    </row>
    <row r="85" spans="1:10" ht="33.75" x14ac:dyDescent="0.2">
      <c r="A85" s="220" t="s">
        <v>403</v>
      </c>
      <c r="B85" s="187" t="s">
        <v>182</v>
      </c>
      <c r="C85" s="208" t="s">
        <v>245</v>
      </c>
      <c r="D85" s="189"/>
      <c r="E85" s="183" t="s">
        <v>176</v>
      </c>
      <c r="F85" s="163">
        <f>'виконання ІС'!E41</f>
        <v>25.5</v>
      </c>
      <c r="G85" s="163">
        <f>'виконання ІС'!I41</f>
        <v>144.86000000000001</v>
      </c>
      <c r="H85" s="163">
        <f t="shared" si="2"/>
        <v>119.36000000000001</v>
      </c>
      <c r="I85" s="157" t="s">
        <v>454</v>
      </c>
    </row>
    <row r="86" spans="1:10" ht="67.5" x14ac:dyDescent="0.2">
      <c r="A86" s="220"/>
      <c r="B86" s="187"/>
      <c r="C86" s="208" t="s">
        <v>246</v>
      </c>
      <c r="D86" s="157" t="s">
        <v>281</v>
      </c>
      <c r="E86" s="183" t="s">
        <v>410</v>
      </c>
      <c r="F86" s="182">
        <v>20</v>
      </c>
      <c r="G86" s="182">
        <v>168</v>
      </c>
      <c r="H86" s="156">
        <f t="shared" si="2"/>
        <v>148</v>
      </c>
      <c r="I86" s="157" t="s">
        <v>486</v>
      </c>
      <c r="J86" s="178" t="s">
        <v>415</v>
      </c>
    </row>
    <row r="87" spans="1:10" ht="22.5" x14ac:dyDescent="0.2">
      <c r="A87" s="207"/>
      <c r="B87" s="187"/>
      <c r="C87" s="208" t="s">
        <v>377</v>
      </c>
      <c r="D87" s="208" t="s">
        <v>282</v>
      </c>
      <c r="E87" s="161" t="s">
        <v>176</v>
      </c>
      <c r="F87" s="222">
        <v>1.2749999999999999</v>
      </c>
      <c r="G87" s="184">
        <f>G85/G86</f>
        <v>0.8622619047619049</v>
      </c>
      <c r="H87" s="156">
        <f t="shared" si="2"/>
        <v>-0.41273809523809502</v>
      </c>
      <c r="I87" s="157" t="s">
        <v>434</v>
      </c>
    </row>
    <row r="88" spans="1:10" ht="56.25" x14ac:dyDescent="0.2">
      <c r="A88" s="207"/>
      <c r="B88" s="187"/>
      <c r="C88" s="193" t="s">
        <v>247</v>
      </c>
      <c r="D88" s="208" t="s">
        <v>283</v>
      </c>
      <c r="E88" s="161" t="s">
        <v>163</v>
      </c>
      <c r="F88" s="182">
        <v>95.9</v>
      </c>
      <c r="G88" s="182">
        <v>100</v>
      </c>
      <c r="H88" s="156">
        <f t="shared" si="2"/>
        <v>4.0999999999999943</v>
      </c>
      <c r="I88" s="157" t="s">
        <v>465</v>
      </c>
      <c r="J88" s="178" t="s">
        <v>415</v>
      </c>
    </row>
    <row r="89" spans="1:10" x14ac:dyDescent="0.2">
      <c r="A89" s="223" t="s">
        <v>183</v>
      </c>
      <c r="B89" s="281" t="s">
        <v>184</v>
      </c>
      <c r="C89" s="281"/>
      <c r="D89" s="281"/>
      <c r="E89" s="281"/>
      <c r="F89" s="281"/>
      <c r="G89" s="281"/>
      <c r="H89" s="281"/>
      <c r="I89" s="157"/>
    </row>
    <row r="90" spans="1:10" ht="123.75" x14ac:dyDescent="0.2">
      <c r="A90" s="207" t="s">
        <v>185</v>
      </c>
      <c r="B90" s="187" t="s">
        <v>107</v>
      </c>
      <c r="C90" s="157" t="s">
        <v>245</v>
      </c>
      <c r="D90" s="210" t="s">
        <v>186</v>
      </c>
      <c r="E90" s="161" t="s">
        <v>176</v>
      </c>
      <c r="F90" s="163">
        <f>'виконання ІС'!F43</f>
        <v>0</v>
      </c>
      <c r="G90" s="163">
        <f>'виконання ІС'!J43</f>
        <v>62.13</v>
      </c>
      <c r="H90" s="163">
        <f t="shared" si="2"/>
        <v>62.13</v>
      </c>
      <c r="I90" s="157" t="s">
        <v>435</v>
      </c>
    </row>
    <row r="91" spans="1:10" ht="78.75" x14ac:dyDescent="0.2">
      <c r="A91" s="207" t="s">
        <v>295</v>
      </c>
      <c r="B91" s="187" t="s">
        <v>186</v>
      </c>
      <c r="C91" s="208" t="s">
        <v>245</v>
      </c>
      <c r="D91" s="208" t="s">
        <v>404</v>
      </c>
      <c r="E91" s="161" t="s">
        <v>176</v>
      </c>
      <c r="F91" s="156">
        <v>0</v>
      </c>
      <c r="G91" s="156">
        <f>'виконання ІС'!J43</f>
        <v>62.13</v>
      </c>
      <c r="H91" s="156">
        <v>0</v>
      </c>
      <c r="I91" s="157" t="s">
        <v>461</v>
      </c>
    </row>
    <row r="92" spans="1:10" ht="78.75" x14ac:dyDescent="0.2">
      <c r="A92" s="207"/>
      <c r="B92" s="187"/>
      <c r="C92" s="208" t="s">
        <v>246</v>
      </c>
      <c r="D92" s="208" t="s">
        <v>284</v>
      </c>
      <c r="E92" s="183" t="s">
        <v>410</v>
      </c>
      <c r="F92" s="164">
        <v>0</v>
      </c>
      <c r="G92" s="164">
        <v>1598</v>
      </c>
      <c r="H92" s="156">
        <f>G92-F92</f>
        <v>1598</v>
      </c>
      <c r="I92" s="157" t="s">
        <v>535</v>
      </c>
      <c r="J92" s="178" t="s">
        <v>415</v>
      </c>
    </row>
    <row r="93" spans="1:10" x14ac:dyDescent="0.2">
      <c r="A93" s="207"/>
      <c r="B93" s="187"/>
      <c r="C93" s="157" t="s">
        <v>245</v>
      </c>
      <c r="D93" s="157" t="s">
        <v>405</v>
      </c>
      <c r="E93" s="161" t="s">
        <v>176</v>
      </c>
      <c r="F93" s="163">
        <f>'виконання ІС'!G44</f>
        <v>687.84</v>
      </c>
      <c r="G93" s="163">
        <f>'виконання ІС'!K44</f>
        <v>0</v>
      </c>
      <c r="H93" s="163">
        <f t="shared" si="2"/>
        <v>-687.84</v>
      </c>
      <c r="I93" s="157"/>
    </row>
    <row r="94" spans="1:10" ht="45" x14ac:dyDescent="0.2">
      <c r="A94" s="207"/>
      <c r="B94" s="187"/>
      <c r="C94" s="208" t="s">
        <v>246</v>
      </c>
      <c r="D94" s="157" t="s">
        <v>285</v>
      </c>
      <c r="E94" s="183" t="s">
        <v>410</v>
      </c>
      <c r="F94" s="171">
        <v>1980</v>
      </c>
      <c r="G94" s="171">
        <v>0</v>
      </c>
      <c r="H94" s="156">
        <f t="shared" si="2"/>
        <v>-1980</v>
      </c>
      <c r="I94" s="157" t="s">
        <v>436</v>
      </c>
    </row>
    <row r="95" spans="1:10" ht="56.25" x14ac:dyDescent="0.2">
      <c r="A95" s="207"/>
      <c r="B95" s="187"/>
      <c r="C95" s="208" t="s">
        <v>246</v>
      </c>
      <c r="D95" s="157" t="s">
        <v>286</v>
      </c>
      <c r="E95" s="183" t="s">
        <v>410</v>
      </c>
      <c r="F95" s="171">
        <v>1800</v>
      </c>
      <c r="G95" s="171">
        <v>1258</v>
      </c>
      <c r="H95" s="156">
        <f t="shared" si="2"/>
        <v>-542</v>
      </c>
      <c r="I95" s="157" t="s">
        <v>568</v>
      </c>
      <c r="J95" s="178" t="s">
        <v>487</v>
      </c>
    </row>
    <row r="96" spans="1:10" ht="22.5" x14ac:dyDescent="0.2">
      <c r="A96" s="207"/>
      <c r="B96" s="187"/>
      <c r="C96" s="208" t="s">
        <v>377</v>
      </c>
      <c r="D96" s="208" t="s">
        <v>287</v>
      </c>
      <c r="E96" s="161" t="s">
        <v>176</v>
      </c>
      <c r="F96" s="156">
        <v>91</v>
      </c>
      <c r="G96" s="156">
        <f>(G93+G90)/G95</f>
        <v>4.9387917329093804E-2</v>
      </c>
      <c r="H96" s="156">
        <f t="shared" si="2"/>
        <v>-90.950612082670901</v>
      </c>
      <c r="I96" s="157" t="s">
        <v>437</v>
      </c>
    </row>
    <row r="97" spans="1:10" ht="33.75" x14ac:dyDescent="0.2">
      <c r="A97" s="207"/>
      <c r="B97" s="187"/>
      <c r="C97" s="193" t="s">
        <v>247</v>
      </c>
      <c r="D97" s="208" t="s">
        <v>288</v>
      </c>
      <c r="E97" s="161" t="s">
        <v>163</v>
      </c>
      <c r="F97" s="171">
        <v>91</v>
      </c>
      <c r="G97" s="158">
        <v>85.3</v>
      </c>
      <c r="H97" s="156">
        <f t="shared" si="2"/>
        <v>-5.7000000000000028</v>
      </c>
      <c r="I97" s="157" t="s">
        <v>536</v>
      </c>
      <c r="J97" s="178" t="s">
        <v>488</v>
      </c>
    </row>
    <row r="98" spans="1:10" ht="33.75" x14ac:dyDescent="0.2">
      <c r="A98" s="207"/>
      <c r="B98" s="187"/>
      <c r="C98" s="193" t="s">
        <v>247</v>
      </c>
      <c r="D98" s="157" t="s">
        <v>289</v>
      </c>
      <c r="E98" s="183" t="s">
        <v>410</v>
      </c>
      <c r="F98" s="171">
        <v>24200</v>
      </c>
      <c r="G98" s="171">
        <v>15837</v>
      </c>
      <c r="H98" s="156">
        <f t="shared" si="2"/>
        <v>-8363</v>
      </c>
      <c r="I98" s="157" t="s">
        <v>537</v>
      </c>
      <c r="J98" s="178">
        <v>77.7</v>
      </c>
    </row>
    <row r="99" spans="1:10" ht="45" x14ac:dyDescent="0.2">
      <c r="A99" s="207"/>
      <c r="B99" s="187"/>
      <c r="C99" s="193" t="s">
        <v>247</v>
      </c>
      <c r="D99" s="208" t="s">
        <v>290</v>
      </c>
      <c r="E99" s="161" t="s">
        <v>163</v>
      </c>
      <c r="F99" s="158">
        <v>90.3</v>
      </c>
      <c r="G99" s="171">
        <f>G98/19837*100</f>
        <v>79.835660634168477</v>
      </c>
      <c r="H99" s="156">
        <f t="shared" ref="H99:H166" si="3">G99-F99</f>
        <v>-10.46433936583152</v>
      </c>
      <c r="I99" s="157" t="s">
        <v>438</v>
      </c>
      <c r="J99" s="178">
        <v>77.7</v>
      </c>
    </row>
    <row r="100" spans="1:10" ht="90" x14ac:dyDescent="0.2">
      <c r="A100" s="207" t="s">
        <v>294</v>
      </c>
      <c r="B100" s="224" t="s">
        <v>187</v>
      </c>
      <c r="C100" s="208" t="s">
        <v>246</v>
      </c>
      <c r="D100" s="208" t="s">
        <v>291</v>
      </c>
      <c r="E100" s="183" t="s">
        <v>410</v>
      </c>
      <c r="F100" s="182">
        <v>0</v>
      </c>
      <c r="G100" s="182">
        <v>383</v>
      </c>
      <c r="H100" s="156">
        <f t="shared" si="3"/>
        <v>383</v>
      </c>
      <c r="I100" s="157" t="s">
        <v>538</v>
      </c>
      <c r="J100" s="178" t="s">
        <v>415</v>
      </c>
    </row>
    <row r="101" spans="1:10" ht="56.25" x14ac:dyDescent="0.2">
      <c r="A101" s="207"/>
      <c r="B101" s="187"/>
      <c r="C101" s="193" t="s">
        <v>247</v>
      </c>
      <c r="D101" s="208" t="s">
        <v>292</v>
      </c>
      <c r="E101" s="161" t="s">
        <v>163</v>
      </c>
      <c r="F101" s="182">
        <v>95</v>
      </c>
      <c r="G101" s="185">
        <v>100</v>
      </c>
      <c r="H101" s="156">
        <f t="shared" si="3"/>
        <v>5</v>
      </c>
      <c r="I101" s="157" t="s">
        <v>466</v>
      </c>
      <c r="J101" s="178" t="s">
        <v>415</v>
      </c>
    </row>
    <row r="102" spans="1:10" ht="56.25" x14ac:dyDescent="0.2">
      <c r="A102" s="168" t="s">
        <v>296</v>
      </c>
      <c r="B102" s="157" t="s">
        <v>188</v>
      </c>
      <c r="C102" s="208" t="s">
        <v>246</v>
      </c>
      <c r="D102" s="208" t="s">
        <v>293</v>
      </c>
      <c r="E102" s="183" t="s">
        <v>410</v>
      </c>
      <c r="F102" s="182">
        <v>1584</v>
      </c>
      <c r="G102" s="182">
        <v>1104</v>
      </c>
      <c r="H102" s="156">
        <f t="shared" si="3"/>
        <v>-480</v>
      </c>
      <c r="I102" s="157" t="s">
        <v>539</v>
      </c>
      <c r="J102" s="178">
        <f>882/1584*100</f>
        <v>55.68181818181818</v>
      </c>
    </row>
    <row r="103" spans="1:10" ht="78.75" x14ac:dyDescent="0.2">
      <c r="A103" s="207"/>
      <c r="B103" s="187"/>
      <c r="C103" s="193" t="s">
        <v>247</v>
      </c>
      <c r="D103" s="208" t="s">
        <v>297</v>
      </c>
      <c r="E103" s="161" t="s">
        <v>163</v>
      </c>
      <c r="F103" s="182">
        <v>80</v>
      </c>
      <c r="G103" s="182">
        <v>75</v>
      </c>
      <c r="H103" s="156">
        <f t="shared" si="3"/>
        <v>-5</v>
      </c>
      <c r="I103" s="157" t="s">
        <v>439</v>
      </c>
      <c r="J103" s="178">
        <v>87.5</v>
      </c>
    </row>
    <row r="104" spans="1:10" ht="102.75" customHeight="1" x14ac:dyDescent="0.2">
      <c r="A104" s="168" t="s">
        <v>298</v>
      </c>
      <c r="B104" s="193" t="s">
        <v>189</v>
      </c>
      <c r="C104" s="157" t="s">
        <v>245</v>
      </c>
      <c r="D104" s="225"/>
      <c r="E104" s="161" t="s">
        <v>176</v>
      </c>
      <c r="F104" s="167">
        <f>'виконання ІС'!E47</f>
        <v>18097</v>
      </c>
      <c r="G104" s="167">
        <f>'виконання ІС'!I47</f>
        <v>4182.67</v>
      </c>
      <c r="H104" s="163">
        <f t="shared" si="3"/>
        <v>-13914.33</v>
      </c>
      <c r="I104" s="157" t="s">
        <v>454</v>
      </c>
    </row>
    <row r="105" spans="1:10" ht="45" x14ac:dyDescent="0.2">
      <c r="A105" s="207"/>
      <c r="B105" s="187"/>
      <c r="C105" s="208" t="s">
        <v>246</v>
      </c>
      <c r="D105" s="208" t="s">
        <v>300</v>
      </c>
      <c r="E105" s="183" t="s">
        <v>410</v>
      </c>
      <c r="F105" s="182">
        <v>1100</v>
      </c>
      <c r="G105" s="182">
        <v>399</v>
      </c>
      <c r="H105" s="156">
        <f t="shared" si="3"/>
        <v>-701</v>
      </c>
      <c r="I105" s="157" t="s">
        <v>540</v>
      </c>
      <c r="J105" s="178">
        <f>288/1100*100</f>
        <v>26.181818181818183</v>
      </c>
    </row>
    <row r="106" spans="1:10" ht="33.75" x14ac:dyDescent="0.2">
      <c r="A106" s="207"/>
      <c r="B106" s="187"/>
      <c r="C106" s="208" t="s">
        <v>377</v>
      </c>
      <c r="D106" s="208" t="s">
        <v>301</v>
      </c>
      <c r="E106" s="161" t="s">
        <v>176</v>
      </c>
      <c r="F106" s="182">
        <v>18.28</v>
      </c>
      <c r="G106" s="185">
        <f>G104/G105</f>
        <v>10.482882205513784</v>
      </c>
      <c r="H106" s="156">
        <f t="shared" si="3"/>
        <v>-7.7971177944862173</v>
      </c>
      <c r="I106" s="157" t="s">
        <v>450</v>
      </c>
    </row>
    <row r="107" spans="1:10" ht="45" x14ac:dyDescent="0.2">
      <c r="A107" s="207"/>
      <c r="B107" s="187"/>
      <c r="C107" s="193" t="s">
        <v>247</v>
      </c>
      <c r="D107" s="208" t="s">
        <v>302</v>
      </c>
      <c r="E107" s="161" t="s">
        <v>163</v>
      </c>
      <c r="F107" s="182">
        <v>90</v>
      </c>
      <c r="G107" s="185">
        <v>100</v>
      </c>
      <c r="H107" s="156">
        <f t="shared" si="3"/>
        <v>10</v>
      </c>
      <c r="I107" s="157" t="s">
        <v>467</v>
      </c>
      <c r="J107" s="178" t="s">
        <v>415</v>
      </c>
    </row>
    <row r="108" spans="1:10" ht="67.5" x14ac:dyDescent="0.2">
      <c r="A108" s="207" t="s">
        <v>299</v>
      </c>
      <c r="B108" s="210" t="s">
        <v>190</v>
      </c>
      <c r="C108" s="208" t="s">
        <v>246</v>
      </c>
      <c r="D108" s="208" t="s">
        <v>303</v>
      </c>
      <c r="E108" s="183" t="s">
        <v>410</v>
      </c>
      <c r="F108" s="192">
        <v>1411</v>
      </c>
      <c r="G108" s="192">
        <v>1258</v>
      </c>
      <c r="H108" s="156">
        <f t="shared" si="3"/>
        <v>-153</v>
      </c>
      <c r="I108" s="157" t="s">
        <v>541</v>
      </c>
      <c r="J108" s="178">
        <f>G108/F108*100</f>
        <v>89.156626506024097</v>
      </c>
    </row>
    <row r="109" spans="1:10" ht="45" x14ac:dyDescent="0.2">
      <c r="A109" s="207"/>
      <c r="B109" s="187"/>
      <c r="C109" s="193" t="s">
        <v>247</v>
      </c>
      <c r="D109" s="157" t="s">
        <v>304</v>
      </c>
      <c r="E109" s="161" t="s">
        <v>163</v>
      </c>
      <c r="F109" s="182">
        <v>80</v>
      </c>
      <c r="G109" s="172">
        <v>100</v>
      </c>
      <c r="H109" s="156">
        <f t="shared" si="3"/>
        <v>20</v>
      </c>
      <c r="I109" s="157" t="s">
        <v>468</v>
      </c>
      <c r="J109" s="178" t="s">
        <v>415</v>
      </c>
    </row>
    <row r="110" spans="1:10" ht="67.5" x14ac:dyDescent="0.2">
      <c r="A110" s="207" t="s">
        <v>114</v>
      </c>
      <c r="B110" s="187" t="s">
        <v>115</v>
      </c>
      <c r="C110" s="157" t="s">
        <v>245</v>
      </c>
      <c r="D110" s="164"/>
      <c r="E110" s="183" t="s">
        <v>176</v>
      </c>
      <c r="F110" s="163">
        <f>'виконання ІС'!E49</f>
        <v>694.3</v>
      </c>
      <c r="G110" s="163">
        <f>'виконання ІС'!I49</f>
        <v>235.67</v>
      </c>
      <c r="H110" s="163">
        <f t="shared" si="3"/>
        <v>-458.63</v>
      </c>
      <c r="I110" s="157" t="s">
        <v>499</v>
      </c>
    </row>
    <row r="111" spans="1:10" ht="45" x14ac:dyDescent="0.2">
      <c r="A111" s="207"/>
      <c r="B111" s="187"/>
      <c r="C111" s="208" t="s">
        <v>246</v>
      </c>
      <c r="D111" s="208" t="s">
        <v>305</v>
      </c>
      <c r="E111" s="183" t="s">
        <v>410</v>
      </c>
      <c r="F111" s="182">
        <v>180</v>
      </c>
      <c r="G111" s="182">
        <v>202</v>
      </c>
      <c r="H111" s="156">
        <f t="shared" si="3"/>
        <v>22</v>
      </c>
      <c r="I111" s="157" t="s">
        <v>542</v>
      </c>
      <c r="J111" s="178">
        <f>G111/F111*100</f>
        <v>112.22222222222223</v>
      </c>
    </row>
    <row r="112" spans="1:10" ht="33.75" x14ac:dyDescent="0.2">
      <c r="A112" s="207"/>
      <c r="B112" s="187"/>
      <c r="C112" s="208" t="s">
        <v>377</v>
      </c>
      <c r="D112" s="208" t="s">
        <v>306</v>
      </c>
      <c r="E112" s="161" t="s">
        <v>176</v>
      </c>
      <c r="F112" s="182">
        <v>3.86</v>
      </c>
      <c r="G112" s="197">
        <f>G110/G111</f>
        <v>1.1666831683168317</v>
      </c>
      <c r="H112" s="156">
        <f>G112-F112</f>
        <v>-2.6933168316831679</v>
      </c>
      <c r="I112" s="157"/>
    </row>
    <row r="113" spans="1:10" ht="56.25" x14ac:dyDescent="0.2">
      <c r="A113" s="207"/>
      <c r="B113" s="187"/>
      <c r="C113" s="193" t="s">
        <v>247</v>
      </c>
      <c r="D113" s="208" t="s">
        <v>307</v>
      </c>
      <c r="E113" s="161" t="s">
        <v>163</v>
      </c>
      <c r="F113" s="182">
        <v>10</v>
      </c>
      <c r="G113" s="185">
        <v>18.2</v>
      </c>
      <c r="H113" s="156">
        <f t="shared" si="3"/>
        <v>8.1999999999999993</v>
      </c>
      <c r="I113" s="157" t="s">
        <v>489</v>
      </c>
      <c r="J113" s="178" t="s">
        <v>415</v>
      </c>
    </row>
    <row r="114" spans="1:10" ht="112.5" x14ac:dyDescent="0.2">
      <c r="A114" s="226" t="s">
        <v>116</v>
      </c>
      <c r="B114" s="187" t="s">
        <v>191</v>
      </c>
      <c r="C114" s="157" t="s">
        <v>245</v>
      </c>
      <c r="D114" s="183"/>
      <c r="E114" s="183" t="s">
        <v>176</v>
      </c>
      <c r="F114" s="163">
        <f>'виконання ІС'!E50</f>
        <v>2037.11</v>
      </c>
      <c r="G114" s="163">
        <f>'виконання ІС'!I50</f>
        <v>1447.12</v>
      </c>
      <c r="H114" s="163">
        <f t="shared" si="3"/>
        <v>-589.99</v>
      </c>
      <c r="I114" s="157" t="s">
        <v>460</v>
      </c>
    </row>
    <row r="115" spans="1:10" ht="22.5" x14ac:dyDescent="0.2">
      <c r="A115" s="227" t="s">
        <v>422</v>
      </c>
      <c r="B115" s="187" t="s">
        <v>364</v>
      </c>
      <c r="C115" s="285" t="s">
        <v>246</v>
      </c>
      <c r="D115" s="285" t="s">
        <v>308</v>
      </c>
      <c r="E115" s="286" t="s">
        <v>410</v>
      </c>
      <c r="F115" s="287">
        <v>1800</v>
      </c>
      <c r="G115" s="287">
        <v>1104</v>
      </c>
      <c r="H115" s="288">
        <f t="shared" si="3"/>
        <v>-696</v>
      </c>
      <c r="I115" s="289" t="s">
        <v>469</v>
      </c>
    </row>
    <row r="116" spans="1:10" ht="37.5" customHeight="1" x14ac:dyDescent="0.2">
      <c r="A116" s="207" t="s">
        <v>423</v>
      </c>
      <c r="B116" s="187" t="s">
        <v>365</v>
      </c>
      <c r="C116" s="285"/>
      <c r="D116" s="285"/>
      <c r="E116" s="286"/>
      <c r="F116" s="287"/>
      <c r="G116" s="287"/>
      <c r="H116" s="288"/>
      <c r="I116" s="290"/>
      <c r="J116" s="178">
        <f>993/1800*100</f>
        <v>55.166666666666664</v>
      </c>
    </row>
    <row r="117" spans="1:10" ht="45" x14ac:dyDescent="0.2">
      <c r="A117" s="228" t="s">
        <v>311</v>
      </c>
      <c r="B117" s="208" t="s">
        <v>312</v>
      </c>
      <c r="C117" s="208" t="s">
        <v>377</v>
      </c>
      <c r="D117" s="208" t="s">
        <v>309</v>
      </c>
      <c r="E117" s="161" t="s">
        <v>176</v>
      </c>
      <c r="F117" s="184">
        <v>1.1317277777777777</v>
      </c>
      <c r="G117" s="185">
        <f>G114/G115</f>
        <v>1.3107971014492752</v>
      </c>
      <c r="H117" s="156">
        <f t="shared" si="3"/>
        <v>0.17906932367149753</v>
      </c>
      <c r="I117" s="157" t="s">
        <v>502</v>
      </c>
    </row>
    <row r="118" spans="1:10" ht="56.25" x14ac:dyDescent="0.2">
      <c r="A118" s="228" t="s">
        <v>366</v>
      </c>
      <c r="B118" s="208" t="s">
        <v>367</v>
      </c>
      <c r="C118" s="193" t="s">
        <v>247</v>
      </c>
      <c r="D118" s="208" t="s">
        <v>310</v>
      </c>
      <c r="E118" s="161" t="s">
        <v>163</v>
      </c>
      <c r="F118" s="182">
        <v>100</v>
      </c>
      <c r="G118" s="172">
        <v>100</v>
      </c>
      <c r="H118" s="156">
        <f t="shared" si="3"/>
        <v>0</v>
      </c>
      <c r="I118" s="157" t="s">
        <v>543</v>
      </c>
      <c r="J118" s="178" t="s">
        <v>415</v>
      </c>
    </row>
    <row r="119" spans="1:10" ht="56.25" x14ac:dyDescent="0.2">
      <c r="A119" s="228" t="s">
        <v>368</v>
      </c>
      <c r="B119" s="208" t="s">
        <v>369</v>
      </c>
      <c r="C119" s="193" t="s">
        <v>247</v>
      </c>
      <c r="D119" s="208" t="s">
        <v>310</v>
      </c>
      <c r="E119" s="161" t="s">
        <v>163</v>
      </c>
      <c r="F119" s="172">
        <v>100</v>
      </c>
      <c r="G119" s="172">
        <v>100</v>
      </c>
      <c r="H119" s="171">
        <f t="shared" si="3"/>
        <v>0</v>
      </c>
      <c r="I119" s="198" t="s">
        <v>470</v>
      </c>
      <c r="J119" s="178" t="s">
        <v>415</v>
      </c>
    </row>
    <row r="120" spans="1:10" ht="56.25" x14ac:dyDescent="0.2">
      <c r="A120" s="229" t="s">
        <v>123</v>
      </c>
      <c r="B120" s="187" t="s">
        <v>192</v>
      </c>
      <c r="C120" s="157" t="s">
        <v>245</v>
      </c>
      <c r="D120" s="183"/>
      <c r="E120" s="161" t="s">
        <v>176</v>
      </c>
      <c r="F120" s="167">
        <f>'виконання ІС'!E56</f>
        <v>3912.1400000000003</v>
      </c>
      <c r="G120" s="167">
        <f>'виконання ІС'!I56</f>
        <v>4279.68</v>
      </c>
      <c r="H120" s="163">
        <f t="shared" si="3"/>
        <v>367.53999999999996</v>
      </c>
      <c r="I120" s="157" t="s">
        <v>459</v>
      </c>
    </row>
    <row r="121" spans="1:10" ht="67.5" x14ac:dyDescent="0.2">
      <c r="A121" s="207" t="s">
        <v>335</v>
      </c>
      <c r="B121" s="187" t="s">
        <v>193</v>
      </c>
      <c r="C121" s="208" t="s">
        <v>246</v>
      </c>
      <c r="D121" s="208" t="s">
        <v>340</v>
      </c>
      <c r="E121" s="183" t="s">
        <v>410</v>
      </c>
      <c r="F121" s="182">
        <v>750</v>
      </c>
      <c r="G121" s="182">
        <v>1377</v>
      </c>
      <c r="H121" s="156">
        <f t="shared" si="3"/>
        <v>627</v>
      </c>
      <c r="I121" s="157" t="s">
        <v>544</v>
      </c>
      <c r="J121" s="178" t="s">
        <v>415</v>
      </c>
    </row>
    <row r="122" spans="1:10" ht="45" x14ac:dyDescent="0.2">
      <c r="A122" s="207" t="s">
        <v>336</v>
      </c>
      <c r="B122" s="193" t="s">
        <v>194</v>
      </c>
      <c r="C122" s="208" t="s">
        <v>246</v>
      </c>
      <c r="D122" s="208" t="s">
        <v>341</v>
      </c>
      <c r="E122" s="183" t="s">
        <v>410</v>
      </c>
      <c r="F122" s="182">
        <v>500</v>
      </c>
      <c r="G122" s="182">
        <v>2718</v>
      </c>
      <c r="H122" s="156">
        <f t="shared" si="3"/>
        <v>2218</v>
      </c>
      <c r="I122" s="157" t="s">
        <v>545</v>
      </c>
      <c r="J122" s="178" t="s">
        <v>415</v>
      </c>
    </row>
    <row r="123" spans="1:10" ht="45" x14ac:dyDescent="0.2">
      <c r="A123" s="207" t="s">
        <v>337</v>
      </c>
      <c r="B123" s="193" t="s">
        <v>195</v>
      </c>
      <c r="C123" s="208" t="s">
        <v>246</v>
      </c>
      <c r="D123" s="208" t="s">
        <v>342</v>
      </c>
      <c r="E123" s="183" t="s">
        <v>410</v>
      </c>
      <c r="F123" s="164">
        <v>20</v>
      </c>
      <c r="G123" s="182">
        <v>46</v>
      </c>
      <c r="H123" s="156">
        <f t="shared" si="3"/>
        <v>26</v>
      </c>
      <c r="I123" s="157" t="s">
        <v>546</v>
      </c>
      <c r="J123" s="178" t="s">
        <v>415</v>
      </c>
    </row>
    <row r="124" spans="1:10" ht="33.75" x14ac:dyDescent="0.2">
      <c r="A124" s="207" t="s">
        <v>338</v>
      </c>
      <c r="B124" s="193" t="s">
        <v>196</v>
      </c>
      <c r="C124" s="208" t="s">
        <v>246</v>
      </c>
      <c r="D124" s="208" t="s">
        <v>343</v>
      </c>
      <c r="E124" s="183" t="s">
        <v>410</v>
      </c>
      <c r="F124" s="182">
        <v>20</v>
      </c>
      <c r="G124" s="182">
        <v>25</v>
      </c>
      <c r="H124" s="156">
        <f t="shared" si="3"/>
        <v>5</v>
      </c>
      <c r="I124" s="157" t="s">
        <v>471</v>
      </c>
      <c r="J124" s="178" t="s">
        <v>415</v>
      </c>
    </row>
    <row r="125" spans="1:10" ht="33.75" x14ac:dyDescent="0.2">
      <c r="A125" s="207" t="s">
        <v>339</v>
      </c>
      <c r="B125" s="187" t="s">
        <v>197</v>
      </c>
      <c r="C125" s="208" t="s">
        <v>246</v>
      </c>
      <c r="D125" s="208" t="s">
        <v>344</v>
      </c>
      <c r="E125" s="183" t="s">
        <v>410</v>
      </c>
      <c r="F125" s="182">
        <v>240</v>
      </c>
      <c r="G125" s="182">
        <v>1370</v>
      </c>
      <c r="H125" s="156">
        <f t="shared" si="3"/>
        <v>1130</v>
      </c>
      <c r="I125" s="157" t="s">
        <v>547</v>
      </c>
      <c r="J125" s="178" t="s">
        <v>415</v>
      </c>
    </row>
    <row r="126" spans="1:10" ht="45" x14ac:dyDescent="0.2">
      <c r="A126" s="207"/>
      <c r="B126" s="187"/>
      <c r="C126" s="208" t="s">
        <v>377</v>
      </c>
      <c r="D126" s="208" t="s">
        <v>313</v>
      </c>
      <c r="E126" s="161" t="s">
        <v>176</v>
      </c>
      <c r="F126" s="184">
        <v>6.3223140495867775E-2</v>
      </c>
      <c r="G126" s="185">
        <f>G120/(G121+G122+G123+G124+G125)</f>
        <v>0.77306358381502893</v>
      </c>
      <c r="H126" s="156">
        <f t="shared" si="3"/>
        <v>0.70984044331916119</v>
      </c>
      <c r="I126" s="157" t="s">
        <v>450</v>
      </c>
    </row>
    <row r="127" spans="1:10" ht="67.5" x14ac:dyDescent="0.2">
      <c r="A127" s="207"/>
      <c r="B127" s="187"/>
      <c r="C127" s="193" t="s">
        <v>247</v>
      </c>
      <c r="D127" s="208" t="s">
        <v>314</v>
      </c>
      <c r="E127" s="161" t="s">
        <v>163</v>
      </c>
      <c r="F127" s="182">
        <v>75</v>
      </c>
      <c r="G127" s="182">
        <v>94</v>
      </c>
      <c r="H127" s="156">
        <f t="shared" si="3"/>
        <v>19</v>
      </c>
      <c r="I127" s="157" t="s">
        <v>472</v>
      </c>
      <c r="J127" s="178" t="s">
        <v>415</v>
      </c>
    </row>
    <row r="128" spans="1:10" ht="123.75" x14ac:dyDescent="0.2">
      <c r="A128" s="207" t="s">
        <v>130</v>
      </c>
      <c r="B128" s="187" t="s">
        <v>131</v>
      </c>
      <c r="C128" s="157" t="s">
        <v>245</v>
      </c>
      <c r="D128" s="183"/>
      <c r="E128" s="183" t="s">
        <v>176</v>
      </c>
      <c r="F128" s="163">
        <f>'виконання ІС'!E62</f>
        <v>250</v>
      </c>
      <c r="G128" s="163">
        <f>'виконання ІС'!I62</f>
        <v>0</v>
      </c>
      <c r="H128" s="163">
        <f t="shared" si="3"/>
        <v>-250</v>
      </c>
      <c r="I128" s="157" t="s">
        <v>458</v>
      </c>
    </row>
    <row r="129" spans="1:10" ht="78.75" x14ac:dyDescent="0.2">
      <c r="A129" s="207"/>
      <c r="B129" s="187"/>
      <c r="C129" s="208" t="s">
        <v>246</v>
      </c>
      <c r="D129" s="157" t="s">
        <v>315</v>
      </c>
      <c r="E129" s="183" t="s">
        <v>410</v>
      </c>
      <c r="F129" s="168">
        <v>40</v>
      </c>
      <c r="G129" s="168">
        <v>49</v>
      </c>
      <c r="H129" s="156">
        <f t="shared" si="3"/>
        <v>9</v>
      </c>
      <c r="I129" s="157" t="s">
        <v>473</v>
      </c>
      <c r="J129" s="178" t="s">
        <v>415</v>
      </c>
    </row>
    <row r="130" spans="1:10" x14ac:dyDescent="0.2">
      <c r="A130" s="207"/>
      <c r="B130" s="187"/>
      <c r="C130" s="208" t="s">
        <v>377</v>
      </c>
      <c r="D130" s="157" t="s">
        <v>316</v>
      </c>
      <c r="E130" s="161" t="s">
        <v>176</v>
      </c>
      <c r="F130" s="182">
        <v>6.25</v>
      </c>
      <c r="G130" s="182">
        <v>0</v>
      </c>
      <c r="H130" s="156">
        <f t="shared" si="3"/>
        <v>-6.25</v>
      </c>
      <c r="I130" s="157" t="s">
        <v>450</v>
      </c>
    </row>
    <row r="131" spans="1:10" ht="90" x14ac:dyDescent="0.2">
      <c r="A131" s="207"/>
      <c r="B131" s="187"/>
      <c r="C131" s="193" t="s">
        <v>247</v>
      </c>
      <c r="D131" s="208" t="s">
        <v>317</v>
      </c>
      <c r="E131" s="161" t="s">
        <v>163</v>
      </c>
      <c r="F131" s="182">
        <v>100</v>
      </c>
      <c r="G131" s="182">
        <v>100</v>
      </c>
      <c r="H131" s="156">
        <f t="shared" si="3"/>
        <v>0</v>
      </c>
      <c r="I131" s="157" t="s">
        <v>474</v>
      </c>
      <c r="J131" s="178" t="s">
        <v>415</v>
      </c>
    </row>
    <row r="132" spans="1:10" x14ac:dyDescent="0.2">
      <c r="A132" s="223" t="s">
        <v>132</v>
      </c>
      <c r="B132" s="281" t="s">
        <v>133</v>
      </c>
      <c r="C132" s="281"/>
      <c r="D132" s="281"/>
      <c r="E132" s="281"/>
      <c r="F132" s="281"/>
      <c r="G132" s="281"/>
      <c r="H132" s="281"/>
      <c r="I132" s="157"/>
    </row>
    <row r="133" spans="1:10" ht="56.25" x14ac:dyDescent="0.2">
      <c r="A133" s="228" t="s">
        <v>198</v>
      </c>
      <c r="B133" s="187" t="s">
        <v>199</v>
      </c>
      <c r="C133" s="157" t="s">
        <v>245</v>
      </c>
      <c r="D133" s="183"/>
      <c r="E133" s="183" t="s">
        <v>176</v>
      </c>
      <c r="F133" s="163">
        <f>'виконання ІС'!E64</f>
        <v>150144</v>
      </c>
      <c r="G133" s="163">
        <f>'виконання ІС'!I64</f>
        <v>28910.67</v>
      </c>
      <c r="H133" s="163">
        <f t="shared" si="3"/>
        <v>-121233.33</v>
      </c>
      <c r="I133" s="157" t="s">
        <v>457</v>
      </c>
    </row>
    <row r="134" spans="1:10" ht="90" x14ac:dyDescent="0.2">
      <c r="A134" s="228" t="s">
        <v>370</v>
      </c>
      <c r="B134" s="193" t="s">
        <v>200</v>
      </c>
      <c r="C134" s="193" t="s">
        <v>246</v>
      </c>
      <c r="D134" s="208" t="s">
        <v>406</v>
      </c>
      <c r="E134" s="183" t="s">
        <v>410</v>
      </c>
      <c r="F134" s="168">
        <v>21804</v>
      </c>
      <c r="G134" s="182">
        <v>12930</v>
      </c>
      <c r="H134" s="166">
        <f t="shared" si="3"/>
        <v>-8874</v>
      </c>
      <c r="I134" s="157" t="s">
        <v>548</v>
      </c>
      <c r="J134" s="178">
        <v>84</v>
      </c>
    </row>
    <row r="135" spans="1:10" ht="78.75" x14ac:dyDescent="0.2">
      <c r="A135" s="207"/>
      <c r="B135" s="187"/>
      <c r="C135" s="208" t="s">
        <v>246</v>
      </c>
      <c r="D135" s="157" t="s">
        <v>318</v>
      </c>
      <c r="E135" s="183" t="s">
        <v>410</v>
      </c>
      <c r="F135" s="182">
        <v>1600</v>
      </c>
      <c r="G135" s="182">
        <v>1206</v>
      </c>
      <c r="H135" s="166">
        <f t="shared" si="3"/>
        <v>-394</v>
      </c>
      <c r="I135" s="157" t="s">
        <v>475</v>
      </c>
      <c r="J135" s="178">
        <f>G135/F135*100</f>
        <v>75.375</v>
      </c>
    </row>
    <row r="136" spans="1:10" ht="22.5" x14ac:dyDescent="0.2">
      <c r="A136" s="207"/>
      <c r="B136" s="187"/>
      <c r="C136" s="208" t="s">
        <v>377</v>
      </c>
      <c r="D136" s="208" t="s">
        <v>319</v>
      </c>
      <c r="E136" s="161" t="s">
        <v>176</v>
      </c>
      <c r="F136" s="184">
        <v>6.8860759493670889</v>
      </c>
      <c r="G136" s="185">
        <f>G133/G134</f>
        <v>2.235937354988399</v>
      </c>
      <c r="H136" s="156">
        <f t="shared" si="3"/>
        <v>-4.6501385943786904</v>
      </c>
      <c r="I136" s="157" t="s">
        <v>450</v>
      </c>
    </row>
    <row r="137" spans="1:10" ht="56.25" x14ac:dyDescent="0.2">
      <c r="A137" s="207"/>
      <c r="B137" s="187"/>
      <c r="C137" s="193" t="s">
        <v>247</v>
      </c>
      <c r="D137" s="208" t="s">
        <v>320</v>
      </c>
      <c r="E137" s="161" t="s">
        <v>163</v>
      </c>
      <c r="F137" s="172">
        <v>90.1</v>
      </c>
      <c r="G137" s="185">
        <v>81.5</v>
      </c>
      <c r="H137" s="156">
        <f t="shared" si="3"/>
        <v>-8.5999999999999943</v>
      </c>
      <c r="I137" s="157" t="s">
        <v>549</v>
      </c>
      <c r="J137" s="178">
        <v>84</v>
      </c>
    </row>
    <row r="138" spans="1:10" ht="67.5" x14ac:dyDescent="0.2">
      <c r="A138" s="228" t="s">
        <v>371</v>
      </c>
      <c r="B138" s="193" t="s">
        <v>201</v>
      </c>
      <c r="C138" s="208" t="s">
        <v>246</v>
      </c>
      <c r="D138" s="208" t="s">
        <v>372</v>
      </c>
      <c r="E138" s="183" t="s">
        <v>410</v>
      </c>
      <c r="F138" s="192">
        <v>1550</v>
      </c>
      <c r="G138" s="192">
        <v>1104</v>
      </c>
      <c r="H138" s="156">
        <f t="shared" si="3"/>
        <v>-446</v>
      </c>
      <c r="I138" s="157" t="s">
        <v>440</v>
      </c>
      <c r="J138" s="178">
        <f>G138/F138*100</f>
        <v>71.225806451612911</v>
      </c>
    </row>
    <row r="139" spans="1:10" ht="67.5" x14ac:dyDescent="0.2">
      <c r="A139" s="228"/>
      <c r="B139" s="187"/>
      <c r="C139" s="193" t="s">
        <v>247</v>
      </c>
      <c r="D139" s="208" t="s">
        <v>321</v>
      </c>
      <c r="E139" s="161" t="s">
        <v>163</v>
      </c>
      <c r="F139" s="172">
        <v>75</v>
      </c>
      <c r="G139" s="184">
        <v>100</v>
      </c>
      <c r="H139" s="156">
        <f t="shared" si="3"/>
        <v>25</v>
      </c>
      <c r="I139" s="157" t="s">
        <v>476</v>
      </c>
      <c r="J139" s="178" t="s">
        <v>415</v>
      </c>
    </row>
    <row r="140" spans="1:10" ht="45" x14ac:dyDescent="0.2">
      <c r="A140" s="228" t="s">
        <v>374</v>
      </c>
      <c r="B140" s="193" t="s">
        <v>202</v>
      </c>
      <c r="C140" s="208" t="s">
        <v>246</v>
      </c>
      <c r="D140" s="208" t="s">
        <v>322</v>
      </c>
      <c r="E140" s="183" t="s">
        <v>410</v>
      </c>
      <c r="F140" s="192">
        <v>19602</v>
      </c>
      <c r="G140" s="192">
        <v>12930</v>
      </c>
      <c r="H140" s="156">
        <f t="shared" si="3"/>
        <v>-6672</v>
      </c>
      <c r="I140" s="157" t="s">
        <v>477</v>
      </c>
      <c r="J140" s="178" t="s">
        <v>415</v>
      </c>
    </row>
    <row r="141" spans="1:10" ht="45" x14ac:dyDescent="0.2">
      <c r="A141" s="207"/>
      <c r="B141" s="187"/>
      <c r="C141" s="193" t="s">
        <v>247</v>
      </c>
      <c r="D141" s="157" t="s">
        <v>323</v>
      </c>
      <c r="E141" s="161" t="s">
        <v>163</v>
      </c>
      <c r="F141" s="192">
        <v>81</v>
      </c>
      <c r="G141" s="195">
        <f>G140/12770*100</f>
        <v>101.25293657008613</v>
      </c>
      <c r="H141" s="156">
        <f t="shared" si="3"/>
        <v>20.252936570086135</v>
      </c>
      <c r="I141" s="157" t="s">
        <v>431</v>
      </c>
      <c r="J141" s="178" t="s">
        <v>415</v>
      </c>
    </row>
    <row r="142" spans="1:10" ht="56.25" x14ac:dyDescent="0.2">
      <c r="A142" s="207" t="s">
        <v>203</v>
      </c>
      <c r="B142" s="187" t="s">
        <v>140</v>
      </c>
      <c r="C142" s="157" t="s">
        <v>245</v>
      </c>
      <c r="D142" s="210"/>
      <c r="E142" s="183" t="s">
        <v>176</v>
      </c>
      <c r="F142" s="195">
        <f>F147+F143</f>
        <v>0</v>
      </c>
      <c r="G142" s="195">
        <f>G147+G143</f>
        <v>0</v>
      </c>
      <c r="H142" s="156">
        <f t="shared" si="3"/>
        <v>0</v>
      </c>
      <c r="I142" s="157" t="s">
        <v>441</v>
      </c>
      <c r="J142" s="178" t="s">
        <v>415</v>
      </c>
    </row>
    <row r="143" spans="1:10" ht="22.5" x14ac:dyDescent="0.2">
      <c r="A143" s="228" t="s">
        <v>370</v>
      </c>
      <c r="B143" s="210" t="s">
        <v>204</v>
      </c>
      <c r="C143" s="157" t="s">
        <v>245</v>
      </c>
      <c r="D143" s="210"/>
      <c r="E143" s="161" t="s">
        <v>176</v>
      </c>
      <c r="F143" s="195">
        <v>0</v>
      </c>
      <c r="G143" s="192">
        <v>0</v>
      </c>
      <c r="H143" s="156">
        <f>G143-F143</f>
        <v>0</v>
      </c>
      <c r="I143" s="157" t="s">
        <v>441</v>
      </c>
      <c r="J143" s="178" t="s">
        <v>415</v>
      </c>
    </row>
    <row r="144" spans="1:10" ht="22.5" x14ac:dyDescent="0.2">
      <c r="A144" s="207"/>
      <c r="B144" s="187"/>
      <c r="C144" s="208" t="s">
        <v>246</v>
      </c>
      <c r="D144" s="208" t="s">
        <v>324</v>
      </c>
      <c r="E144" s="183" t="s">
        <v>410</v>
      </c>
      <c r="F144" s="192">
        <v>0</v>
      </c>
      <c r="G144" s="192">
        <v>0</v>
      </c>
      <c r="H144" s="156">
        <f t="shared" si="3"/>
        <v>0</v>
      </c>
      <c r="I144" s="157" t="s">
        <v>441</v>
      </c>
      <c r="J144" s="178" t="s">
        <v>415</v>
      </c>
    </row>
    <row r="145" spans="1:10" ht="22.5" x14ac:dyDescent="0.2">
      <c r="A145" s="207"/>
      <c r="B145" s="187"/>
      <c r="C145" s="208" t="s">
        <v>377</v>
      </c>
      <c r="D145" s="208" t="s">
        <v>325</v>
      </c>
      <c r="E145" s="161" t="s">
        <v>176</v>
      </c>
      <c r="F145" s="195">
        <v>0</v>
      </c>
      <c r="G145" s="192">
        <v>0</v>
      </c>
      <c r="H145" s="156">
        <f t="shared" si="3"/>
        <v>0</v>
      </c>
      <c r="I145" s="157" t="s">
        <v>441</v>
      </c>
      <c r="J145" s="178" t="s">
        <v>415</v>
      </c>
    </row>
    <row r="146" spans="1:10" ht="33.75" x14ac:dyDescent="0.2">
      <c r="A146" s="207"/>
      <c r="B146" s="187"/>
      <c r="C146" s="193" t="s">
        <v>247</v>
      </c>
      <c r="D146" s="208" t="s">
        <v>326</v>
      </c>
      <c r="E146" s="161" t="s">
        <v>163</v>
      </c>
      <c r="F146" s="192">
        <v>0</v>
      </c>
      <c r="G146" s="192">
        <v>0</v>
      </c>
      <c r="H146" s="156">
        <f t="shared" si="3"/>
        <v>0</v>
      </c>
      <c r="I146" s="157" t="s">
        <v>441</v>
      </c>
      <c r="J146" s="178" t="s">
        <v>415</v>
      </c>
    </row>
    <row r="147" spans="1:10" ht="56.25" x14ac:dyDescent="0.2">
      <c r="A147" s="228" t="s">
        <v>373</v>
      </c>
      <c r="B147" s="210" t="s">
        <v>205</v>
      </c>
      <c r="C147" s="157" t="s">
        <v>245</v>
      </c>
      <c r="D147" s="210" t="s">
        <v>205</v>
      </c>
      <c r="E147" s="161" t="s">
        <v>176</v>
      </c>
      <c r="F147" s="199">
        <v>0</v>
      </c>
      <c r="G147" s="199">
        <v>0</v>
      </c>
      <c r="H147" s="165">
        <f t="shared" si="3"/>
        <v>0</v>
      </c>
      <c r="I147" s="157" t="s">
        <v>441</v>
      </c>
      <c r="J147" s="178" t="s">
        <v>415</v>
      </c>
    </row>
    <row r="148" spans="1:10" ht="22.5" x14ac:dyDescent="0.2">
      <c r="A148" s="207"/>
      <c r="B148" s="187"/>
      <c r="C148" s="208" t="s">
        <v>246</v>
      </c>
      <c r="D148" s="208" t="s">
        <v>324</v>
      </c>
      <c r="E148" s="183" t="s">
        <v>410</v>
      </c>
      <c r="F148" s="192">
        <v>0</v>
      </c>
      <c r="G148" s="192">
        <v>0</v>
      </c>
      <c r="H148" s="156">
        <f t="shared" si="3"/>
        <v>0</v>
      </c>
      <c r="I148" s="157" t="s">
        <v>441</v>
      </c>
      <c r="J148" s="178" t="s">
        <v>415</v>
      </c>
    </row>
    <row r="149" spans="1:10" ht="33.75" x14ac:dyDescent="0.2">
      <c r="A149" s="207"/>
      <c r="B149" s="187"/>
      <c r="C149" s="208" t="s">
        <v>377</v>
      </c>
      <c r="D149" s="208" t="s">
        <v>327</v>
      </c>
      <c r="E149" s="161" t="s">
        <v>176</v>
      </c>
      <c r="F149" s="195">
        <v>0</v>
      </c>
      <c r="G149" s="195">
        <v>0</v>
      </c>
      <c r="H149" s="156">
        <f t="shared" si="3"/>
        <v>0</v>
      </c>
      <c r="I149" s="157" t="s">
        <v>441</v>
      </c>
      <c r="J149" s="178" t="s">
        <v>415</v>
      </c>
    </row>
    <row r="150" spans="1:10" ht="33.75" x14ac:dyDescent="0.2">
      <c r="A150" s="207"/>
      <c r="B150" s="187"/>
      <c r="C150" s="193" t="s">
        <v>247</v>
      </c>
      <c r="D150" s="208" t="s">
        <v>328</v>
      </c>
      <c r="E150" s="161" t="s">
        <v>163</v>
      </c>
      <c r="F150" s="192">
        <v>100</v>
      </c>
      <c r="G150" s="192">
        <v>0</v>
      </c>
      <c r="H150" s="156">
        <f t="shared" si="3"/>
        <v>-100</v>
      </c>
      <c r="I150" s="157" t="s">
        <v>441</v>
      </c>
      <c r="J150" s="178" t="s">
        <v>415</v>
      </c>
    </row>
    <row r="151" spans="1:10" ht="146.25" x14ac:dyDescent="0.2">
      <c r="A151" s="207" t="s">
        <v>143</v>
      </c>
      <c r="B151" s="187" t="s">
        <v>206</v>
      </c>
      <c r="C151" s="157" t="s">
        <v>245</v>
      </c>
      <c r="D151" s="183"/>
      <c r="E151" s="183" t="s">
        <v>176</v>
      </c>
      <c r="F151" s="163">
        <f>'виконання ІС'!E71</f>
        <v>500</v>
      </c>
      <c r="G151" s="163">
        <f>'виконання ІС'!I71</f>
        <v>0</v>
      </c>
      <c r="H151" s="163">
        <f t="shared" si="3"/>
        <v>-500</v>
      </c>
      <c r="I151" s="157" t="s">
        <v>442</v>
      </c>
    </row>
    <row r="152" spans="1:10" ht="45" x14ac:dyDescent="0.2">
      <c r="A152" s="207"/>
      <c r="B152" s="187"/>
      <c r="C152" s="208" t="s">
        <v>246</v>
      </c>
      <c r="D152" s="208" t="s">
        <v>329</v>
      </c>
      <c r="E152" s="183" t="s">
        <v>412</v>
      </c>
      <c r="F152" s="182">
        <v>15</v>
      </c>
      <c r="G152" s="182">
        <v>15</v>
      </c>
      <c r="H152" s="156">
        <f t="shared" si="3"/>
        <v>0</v>
      </c>
      <c r="I152" s="157" t="s">
        <v>478</v>
      </c>
      <c r="J152" s="178" t="s">
        <v>415</v>
      </c>
    </row>
    <row r="153" spans="1:10" ht="33.75" x14ac:dyDescent="0.2">
      <c r="A153" s="207"/>
      <c r="B153" s="187"/>
      <c r="C153" s="208" t="s">
        <v>377</v>
      </c>
      <c r="D153" s="208" t="s">
        <v>330</v>
      </c>
      <c r="E153" s="161" t="s">
        <v>176</v>
      </c>
      <c r="F153" s="184">
        <v>0.10416666666666667</v>
      </c>
      <c r="G153" s="182">
        <f>G151/G152</f>
        <v>0</v>
      </c>
      <c r="H153" s="156">
        <f t="shared" si="3"/>
        <v>-0.10416666666666667</v>
      </c>
      <c r="I153" s="157" t="s">
        <v>443</v>
      </c>
    </row>
    <row r="154" spans="1:10" ht="33.75" x14ac:dyDescent="0.2">
      <c r="A154" s="207"/>
      <c r="B154" s="187"/>
      <c r="C154" s="193" t="s">
        <v>247</v>
      </c>
      <c r="D154" s="208" t="s">
        <v>331</v>
      </c>
      <c r="E154" s="161" t="s">
        <v>163</v>
      </c>
      <c r="F154" s="172">
        <v>23.262720253415164</v>
      </c>
      <c r="G154" s="185">
        <f>1466/12945*100</f>
        <v>11.324835843955194</v>
      </c>
      <c r="H154" s="156">
        <f t="shared" si="3"/>
        <v>-11.93788440945997</v>
      </c>
      <c r="I154" s="157" t="s">
        <v>490</v>
      </c>
      <c r="J154" s="178">
        <v>49.1</v>
      </c>
    </row>
    <row r="155" spans="1:10" ht="135" x14ac:dyDescent="0.2">
      <c r="A155" s="207" t="s">
        <v>145</v>
      </c>
      <c r="B155" s="187" t="s">
        <v>207</v>
      </c>
      <c r="C155" s="157" t="s">
        <v>245</v>
      </c>
      <c r="D155" s="183"/>
      <c r="E155" s="183" t="s">
        <v>176</v>
      </c>
      <c r="F155" s="167">
        <f>'виконання ІС'!E72</f>
        <v>9691</v>
      </c>
      <c r="G155" s="167">
        <f>'виконання ІС'!I72</f>
        <v>11445.45</v>
      </c>
      <c r="H155" s="163">
        <f t="shared" si="3"/>
        <v>1754.4500000000007</v>
      </c>
      <c r="I155" s="157" t="s">
        <v>457</v>
      </c>
    </row>
    <row r="156" spans="1:10" ht="45" x14ac:dyDescent="0.2">
      <c r="A156" s="207"/>
      <c r="B156" s="187"/>
      <c r="C156" s="208" t="s">
        <v>246</v>
      </c>
      <c r="D156" s="208" t="s">
        <v>332</v>
      </c>
      <c r="E156" s="183" t="s">
        <v>410</v>
      </c>
      <c r="F156" s="192">
        <v>14520</v>
      </c>
      <c r="G156" s="192">
        <v>12945</v>
      </c>
      <c r="H156" s="156">
        <f t="shared" si="3"/>
        <v>-1575</v>
      </c>
      <c r="I156" s="157" t="s">
        <v>479</v>
      </c>
      <c r="J156" s="178">
        <f>G156/F156*100</f>
        <v>89.152892561983464</v>
      </c>
    </row>
    <row r="157" spans="1:10" ht="22.5" x14ac:dyDescent="0.2">
      <c r="A157" s="207"/>
      <c r="B157" s="187"/>
      <c r="C157" s="208" t="s">
        <v>377</v>
      </c>
      <c r="D157" s="208" t="s">
        <v>333</v>
      </c>
      <c r="E157" s="161" t="s">
        <v>176</v>
      </c>
      <c r="F157" s="195">
        <v>0.66</v>
      </c>
      <c r="G157" s="195">
        <f>G155/G156</f>
        <v>0.88415990730011595</v>
      </c>
      <c r="H157" s="156">
        <f t="shared" si="3"/>
        <v>0.22415990730011592</v>
      </c>
      <c r="I157" s="157" t="s">
        <v>450</v>
      </c>
    </row>
    <row r="158" spans="1:10" ht="56.25" x14ac:dyDescent="0.2">
      <c r="A158" s="207"/>
      <c r="B158" s="187"/>
      <c r="C158" s="193" t="s">
        <v>247</v>
      </c>
      <c r="D158" s="208" t="s">
        <v>334</v>
      </c>
      <c r="E158" s="161" t="s">
        <v>163</v>
      </c>
      <c r="F158" s="196">
        <v>60</v>
      </c>
      <c r="G158" s="196">
        <v>81.5</v>
      </c>
      <c r="H158" s="156">
        <f t="shared" si="3"/>
        <v>21.5</v>
      </c>
      <c r="I158" s="157" t="s">
        <v>550</v>
      </c>
      <c r="J158" s="178" t="s">
        <v>415</v>
      </c>
    </row>
    <row r="159" spans="1:10" x14ac:dyDescent="0.2">
      <c r="A159" s="223" t="s">
        <v>148</v>
      </c>
      <c r="B159" s="281" t="s">
        <v>208</v>
      </c>
      <c r="C159" s="281"/>
      <c r="D159" s="281"/>
      <c r="E159" s="281"/>
      <c r="F159" s="281"/>
      <c r="G159" s="281"/>
      <c r="H159" s="281"/>
      <c r="I159" s="157"/>
    </row>
    <row r="160" spans="1:10" ht="67.5" x14ac:dyDescent="0.2">
      <c r="A160" s="207" t="s">
        <v>150</v>
      </c>
      <c r="B160" s="187" t="s">
        <v>209</v>
      </c>
      <c r="C160" s="157" t="s">
        <v>245</v>
      </c>
      <c r="D160" s="183"/>
      <c r="E160" s="183" t="s">
        <v>176</v>
      </c>
      <c r="F160" s="163">
        <f>'виконання ІС'!E74</f>
        <v>36333.82</v>
      </c>
      <c r="G160" s="163">
        <f>'виконання ІС'!I74</f>
        <v>5371.96</v>
      </c>
      <c r="H160" s="163">
        <f t="shared" si="3"/>
        <v>-30961.86</v>
      </c>
      <c r="I160" s="157" t="s">
        <v>457</v>
      </c>
    </row>
    <row r="161" spans="1:10" ht="33.75" x14ac:dyDescent="0.2">
      <c r="A161" s="207" t="s">
        <v>345</v>
      </c>
      <c r="B161" s="208" t="s">
        <v>210</v>
      </c>
      <c r="C161" s="208" t="s">
        <v>246</v>
      </c>
      <c r="D161" s="208" t="s">
        <v>350</v>
      </c>
      <c r="E161" s="183" t="s">
        <v>410</v>
      </c>
      <c r="F161" s="164">
        <v>19550</v>
      </c>
      <c r="G161" s="164">
        <v>0</v>
      </c>
      <c r="H161" s="156">
        <f t="shared" si="3"/>
        <v>-19550</v>
      </c>
      <c r="I161" s="157" t="s">
        <v>480</v>
      </c>
    </row>
    <row r="162" spans="1:10" ht="55.5" customHeight="1" x14ac:dyDescent="0.2">
      <c r="A162" s="207"/>
      <c r="B162" s="219"/>
      <c r="C162" s="208" t="s">
        <v>246</v>
      </c>
      <c r="D162" s="187" t="s">
        <v>351</v>
      </c>
      <c r="E162" s="183" t="s">
        <v>410</v>
      </c>
      <c r="F162" s="164">
        <v>0</v>
      </c>
      <c r="G162" s="164">
        <v>12974</v>
      </c>
      <c r="H162" s="156">
        <f t="shared" si="3"/>
        <v>12974</v>
      </c>
      <c r="I162" s="157" t="s">
        <v>551</v>
      </c>
      <c r="J162" s="178" t="s">
        <v>415</v>
      </c>
    </row>
    <row r="163" spans="1:10" ht="45" x14ac:dyDescent="0.2">
      <c r="A163" s="228" t="s">
        <v>346</v>
      </c>
      <c r="B163" s="219" t="s">
        <v>211</v>
      </c>
      <c r="C163" s="208" t="s">
        <v>246</v>
      </c>
      <c r="D163" s="208" t="s">
        <v>352</v>
      </c>
      <c r="E163" s="183" t="s">
        <v>410</v>
      </c>
      <c r="F163" s="164">
        <v>20000</v>
      </c>
      <c r="G163" s="164">
        <v>11449</v>
      </c>
      <c r="H163" s="156">
        <f t="shared" si="3"/>
        <v>-8551</v>
      </c>
      <c r="I163" s="157" t="s">
        <v>552</v>
      </c>
      <c r="J163" s="178">
        <f>G163/F163*100</f>
        <v>57.245000000000005</v>
      </c>
    </row>
    <row r="164" spans="1:10" ht="45" x14ac:dyDescent="0.2">
      <c r="A164" s="207" t="s">
        <v>349</v>
      </c>
      <c r="B164" s="219" t="s">
        <v>212</v>
      </c>
      <c r="C164" s="208" t="s">
        <v>246</v>
      </c>
      <c r="D164" s="208" t="s">
        <v>353</v>
      </c>
      <c r="E164" s="183" t="s">
        <v>410</v>
      </c>
      <c r="F164" s="171">
        <v>44800</v>
      </c>
      <c r="G164" s="164">
        <v>20920</v>
      </c>
      <c r="H164" s="156">
        <f t="shared" si="3"/>
        <v>-23880</v>
      </c>
      <c r="I164" s="157" t="s">
        <v>553</v>
      </c>
      <c r="J164" s="178">
        <f>G164/F164*100</f>
        <v>46.696428571428569</v>
      </c>
    </row>
    <row r="165" spans="1:10" ht="33.75" x14ac:dyDescent="0.2">
      <c r="A165" s="207" t="s">
        <v>347</v>
      </c>
      <c r="B165" s="219" t="s">
        <v>213</v>
      </c>
      <c r="C165" s="208" t="s">
        <v>246</v>
      </c>
      <c r="D165" s="208" t="s">
        <v>354</v>
      </c>
      <c r="E165" s="183" t="s">
        <v>410</v>
      </c>
      <c r="F165" s="171">
        <v>48400</v>
      </c>
      <c r="G165" s="164">
        <v>25394</v>
      </c>
      <c r="H165" s="156">
        <f t="shared" si="3"/>
        <v>-23006</v>
      </c>
      <c r="I165" s="157" t="s">
        <v>554</v>
      </c>
      <c r="J165" s="178">
        <f>G165/F165*100</f>
        <v>52.466942148760332</v>
      </c>
    </row>
    <row r="166" spans="1:10" ht="56.25" x14ac:dyDescent="0.2">
      <c r="A166" s="207" t="s">
        <v>348</v>
      </c>
      <c r="B166" s="208" t="s">
        <v>214</v>
      </c>
      <c r="C166" s="208" t="s">
        <v>246</v>
      </c>
      <c r="D166" s="208" t="s">
        <v>355</v>
      </c>
      <c r="E166" s="183" t="s">
        <v>410</v>
      </c>
      <c r="F166" s="171">
        <v>1500</v>
      </c>
      <c r="G166" s="164">
        <v>1587</v>
      </c>
      <c r="H166" s="156">
        <f t="shared" si="3"/>
        <v>87</v>
      </c>
      <c r="I166" s="157" t="s">
        <v>555</v>
      </c>
      <c r="J166" s="178">
        <f>G166/F166*100</f>
        <v>105.80000000000001</v>
      </c>
    </row>
    <row r="167" spans="1:10" ht="33.75" x14ac:dyDescent="0.2">
      <c r="A167" s="207"/>
      <c r="B167" s="219"/>
      <c r="C167" s="208" t="s">
        <v>377</v>
      </c>
      <c r="D167" s="208" t="s">
        <v>356</v>
      </c>
      <c r="E167" s="161" t="s">
        <v>176</v>
      </c>
      <c r="F167" s="156">
        <v>1.6663832324344157</v>
      </c>
      <c r="G167" s="156">
        <f>G160/(G161+G162+G163+G164+G165+G166)</f>
        <v>7.4276312150876614E-2</v>
      </c>
      <c r="H167" s="156">
        <f t="shared" ref="H167:H179" si="4">G167-F167</f>
        <v>-1.592106920283539</v>
      </c>
      <c r="I167" s="157" t="s">
        <v>481</v>
      </c>
    </row>
    <row r="168" spans="1:10" ht="56.25" x14ac:dyDescent="0.2">
      <c r="A168" s="207"/>
      <c r="B168" s="219"/>
      <c r="C168" s="193" t="s">
        <v>247</v>
      </c>
      <c r="D168" s="208" t="s">
        <v>357</v>
      </c>
      <c r="E168" s="161" t="s">
        <v>163</v>
      </c>
      <c r="F168" s="164">
        <v>95</v>
      </c>
      <c r="G168" s="158">
        <v>95</v>
      </c>
      <c r="H168" s="156">
        <f t="shared" si="4"/>
        <v>0</v>
      </c>
      <c r="I168" s="157" t="s">
        <v>556</v>
      </c>
      <c r="J168" s="178" t="s">
        <v>415</v>
      </c>
    </row>
    <row r="169" spans="1:10" ht="45" x14ac:dyDescent="0.2">
      <c r="A169" s="207" t="s">
        <v>215</v>
      </c>
      <c r="B169" s="187" t="s">
        <v>216</v>
      </c>
      <c r="C169" s="157" t="s">
        <v>245</v>
      </c>
      <c r="D169" s="183"/>
      <c r="E169" s="183" t="s">
        <v>176</v>
      </c>
      <c r="F169" s="163">
        <f>'виконання ІС'!E80</f>
        <v>0</v>
      </c>
      <c r="G169" s="163">
        <f>'виконання ІС'!I80</f>
        <v>0</v>
      </c>
      <c r="H169" s="163">
        <f t="shared" si="4"/>
        <v>0</v>
      </c>
      <c r="I169" s="157" t="s">
        <v>449</v>
      </c>
    </row>
    <row r="170" spans="1:10" ht="78.75" x14ac:dyDescent="0.2">
      <c r="A170" s="207"/>
      <c r="B170" s="187"/>
      <c r="C170" s="157" t="s">
        <v>246</v>
      </c>
      <c r="D170" s="208" t="s">
        <v>375</v>
      </c>
      <c r="E170" s="183" t="s">
        <v>410</v>
      </c>
      <c r="F170" s="192">
        <v>1080</v>
      </c>
      <c r="G170" s="192">
        <v>1258</v>
      </c>
      <c r="H170" s="156">
        <f t="shared" si="4"/>
        <v>178</v>
      </c>
      <c r="I170" s="157" t="s">
        <v>569</v>
      </c>
      <c r="J170" s="178">
        <f>G170/F170*100</f>
        <v>116.48148148148148</v>
      </c>
    </row>
    <row r="171" spans="1:10" ht="45" x14ac:dyDescent="0.2">
      <c r="A171" s="207"/>
      <c r="B171" s="187"/>
      <c r="C171" s="193" t="s">
        <v>247</v>
      </c>
      <c r="D171" s="208" t="s">
        <v>376</v>
      </c>
      <c r="E171" s="161" t="s">
        <v>163</v>
      </c>
      <c r="F171" s="182">
        <v>95</v>
      </c>
      <c r="G171" s="200" t="s">
        <v>491</v>
      </c>
      <c r="H171" s="156">
        <f t="shared" si="4"/>
        <v>-5</v>
      </c>
      <c r="I171" s="157" t="s">
        <v>492</v>
      </c>
      <c r="J171" s="178">
        <v>90</v>
      </c>
    </row>
    <row r="172" spans="1:10" ht="112.5" x14ac:dyDescent="0.2">
      <c r="A172" s="223" t="s">
        <v>160</v>
      </c>
      <c r="B172" s="187" t="s">
        <v>217</v>
      </c>
      <c r="C172" s="157" t="s">
        <v>245</v>
      </c>
      <c r="D172" s="183"/>
      <c r="E172" s="183" t="s">
        <v>176</v>
      </c>
      <c r="F172" s="163">
        <f>'виконання ІС'!E81</f>
        <v>288</v>
      </c>
      <c r="G172" s="167">
        <f>'виконання ІС'!I81</f>
        <v>0</v>
      </c>
      <c r="H172" s="163">
        <f t="shared" si="4"/>
        <v>-288</v>
      </c>
      <c r="I172" s="157" t="s">
        <v>493</v>
      </c>
      <c r="J172" s="178" t="s">
        <v>494</v>
      </c>
    </row>
    <row r="173" spans="1:10" ht="45" x14ac:dyDescent="0.2">
      <c r="A173" s="207"/>
      <c r="B173" s="187"/>
      <c r="C173" s="208" t="s">
        <v>246</v>
      </c>
      <c r="D173" s="157" t="s">
        <v>358</v>
      </c>
      <c r="E173" s="183" t="s">
        <v>410</v>
      </c>
      <c r="F173" s="164">
        <v>5</v>
      </c>
      <c r="G173" s="182">
        <v>0</v>
      </c>
      <c r="H173" s="156">
        <f t="shared" si="4"/>
        <v>-5</v>
      </c>
      <c r="I173" s="157" t="s">
        <v>444</v>
      </c>
      <c r="J173" s="178" t="s">
        <v>494</v>
      </c>
    </row>
    <row r="174" spans="1:10" ht="22.5" x14ac:dyDescent="0.2">
      <c r="A174" s="207"/>
      <c r="B174" s="187"/>
      <c r="C174" s="208" t="s">
        <v>377</v>
      </c>
      <c r="D174" s="208" t="s">
        <v>359</v>
      </c>
      <c r="E174" s="161" t="s">
        <v>176</v>
      </c>
      <c r="F174" s="156">
        <v>11.5</v>
      </c>
      <c r="G174" s="184">
        <v>0</v>
      </c>
      <c r="H174" s="156">
        <f t="shared" si="4"/>
        <v>-11.5</v>
      </c>
      <c r="I174" s="157" t="s">
        <v>444</v>
      </c>
      <c r="J174" s="178" t="s">
        <v>494</v>
      </c>
    </row>
    <row r="175" spans="1:10" ht="45" x14ac:dyDescent="0.2">
      <c r="A175" s="207"/>
      <c r="B175" s="187"/>
      <c r="C175" s="193" t="s">
        <v>247</v>
      </c>
      <c r="D175" s="208" t="s">
        <v>360</v>
      </c>
      <c r="E175" s="161" t="s">
        <v>163</v>
      </c>
      <c r="F175" s="156">
        <v>33</v>
      </c>
      <c r="G175" s="184">
        <v>0</v>
      </c>
      <c r="H175" s="156">
        <f t="shared" si="4"/>
        <v>-33</v>
      </c>
      <c r="I175" s="157" t="s">
        <v>444</v>
      </c>
      <c r="J175" s="178" t="s">
        <v>494</v>
      </c>
    </row>
    <row r="176" spans="1:10" x14ac:dyDescent="0.2">
      <c r="A176" s="223" t="s">
        <v>218</v>
      </c>
      <c r="B176" s="281" t="s">
        <v>219</v>
      </c>
      <c r="C176" s="281"/>
      <c r="D176" s="281"/>
      <c r="E176" s="281"/>
      <c r="F176" s="281"/>
      <c r="G176" s="281"/>
      <c r="H176" s="281"/>
      <c r="I176" s="157"/>
    </row>
    <row r="177" spans="1:10" ht="101.25" x14ac:dyDescent="0.2">
      <c r="A177" s="223"/>
      <c r="B177" s="230"/>
      <c r="C177" s="208" t="s">
        <v>246</v>
      </c>
      <c r="D177" s="208" t="s">
        <v>361</v>
      </c>
      <c r="E177" s="183" t="s">
        <v>410</v>
      </c>
      <c r="F177" s="182">
        <v>18</v>
      </c>
      <c r="G177" s="182">
        <v>4</v>
      </c>
      <c r="H177" s="156">
        <f t="shared" si="4"/>
        <v>-14</v>
      </c>
      <c r="I177" s="157" t="s">
        <v>496</v>
      </c>
    </row>
    <row r="178" spans="1:10" ht="33.75" x14ac:dyDescent="0.2">
      <c r="A178" s="207"/>
      <c r="B178" s="187"/>
      <c r="C178" s="208" t="s">
        <v>377</v>
      </c>
      <c r="D178" s="208" t="s">
        <v>362</v>
      </c>
      <c r="E178" s="161" t="s">
        <v>163</v>
      </c>
      <c r="F178" s="182">
        <v>100</v>
      </c>
      <c r="G178" s="172">
        <v>100</v>
      </c>
      <c r="H178" s="156">
        <f t="shared" si="4"/>
        <v>0</v>
      </c>
      <c r="I178" s="157" t="s">
        <v>482</v>
      </c>
      <c r="J178" s="178" t="s">
        <v>415</v>
      </c>
    </row>
    <row r="179" spans="1:10" ht="45" x14ac:dyDescent="0.2">
      <c r="A179" s="207"/>
      <c r="B179" s="187"/>
      <c r="C179" s="193" t="s">
        <v>247</v>
      </c>
      <c r="D179" s="208" t="s">
        <v>363</v>
      </c>
      <c r="E179" s="161" t="s">
        <v>163</v>
      </c>
      <c r="F179" s="182">
        <v>100</v>
      </c>
      <c r="G179" s="182">
        <v>100</v>
      </c>
      <c r="H179" s="156">
        <f t="shared" si="4"/>
        <v>0</v>
      </c>
      <c r="I179" s="157" t="s">
        <v>482</v>
      </c>
      <c r="J179" s="178" t="s">
        <v>415</v>
      </c>
    </row>
    <row r="180" spans="1:10" ht="31.5" x14ac:dyDescent="0.2">
      <c r="B180" s="231" t="s">
        <v>418</v>
      </c>
      <c r="C180" s="232">
        <v>123</v>
      </c>
      <c r="D180" s="233"/>
      <c r="E180" s="234"/>
      <c r="F180" s="173"/>
      <c r="G180" s="173"/>
      <c r="H180" s="173"/>
      <c r="I180" s="174"/>
    </row>
    <row r="181" spans="1:10" ht="33.75" x14ac:dyDescent="0.2">
      <c r="B181" s="187" t="s">
        <v>411</v>
      </c>
      <c r="C181" s="182">
        <v>73</v>
      </c>
      <c r="D181" s="233"/>
      <c r="E181" s="234"/>
      <c r="F181" s="173"/>
      <c r="G181" s="173"/>
      <c r="H181" s="173"/>
      <c r="I181" s="174"/>
    </row>
    <row r="182" spans="1:10" ht="33.75" x14ac:dyDescent="0.2">
      <c r="B182" s="187" t="s">
        <v>407</v>
      </c>
      <c r="C182" s="182">
        <f>C180-C181</f>
        <v>50</v>
      </c>
      <c r="D182" s="233"/>
      <c r="E182" s="234"/>
      <c r="F182" s="173"/>
      <c r="G182" s="173"/>
      <c r="H182" s="173"/>
      <c r="I182" s="174"/>
    </row>
    <row r="183" spans="1:10" ht="33.75" x14ac:dyDescent="0.2">
      <c r="B183" s="187" t="s">
        <v>408</v>
      </c>
      <c r="C183" s="185">
        <f>C181/C180*100</f>
        <v>59.349593495934961</v>
      </c>
      <c r="D183" s="233"/>
      <c r="E183" s="234"/>
      <c r="F183" s="173"/>
      <c r="G183" s="173"/>
      <c r="H183" s="173"/>
      <c r="I183" s="174"/>
    </row>
    <row r="184" spans="1:10" x14ac:dyDescent="0.2">
      <c r="B184" s="235"/>
      <c r="C184" s="175"/>
      <c r="D184" s="236"/>
      <c r="E184" s="237"/>
      <c r="F184" s="175"/>
      <c r="G184" s="175"/>
      <c r="H184" s="175"/>
      <c r="I184" s="176"/>
    </row>
    <row r="186" spans="1:10" ht="38.25" customHeight="1" x14ac:dyDescent="0.25">
      <c r="B186" s="249" t="s">
        <v>570</v>
      </c>
      <c r="C186" s="249"/>
      <c r="D186" s="241"/>
      <c r="E186" s="242"/>
      <c r="F186" s="22"/>
      <c r="G186" s="244" t="s">
        <v>571</v>
      </c>
      <c r="H186" s="244"/>
      <c r="I186" s="244"/>
      <c r="J186" s="244"/>
    </row>
    <row r="188" spans="1:10" ht="28.5" customHeight="1" x14ac:dyDescent="0.25">
      <c r="B188" s="249" t="s">
        <v>572</v>
      </c>
      <c r="C188" s="249"/>
      <c r="D188" s="241"/>
      <c r="E188" s="242"/>
      <c r="F188" s="22"/>
      <c r="G188" s="245" t="s">
        <v>573</v>
      </c>
      <c r="H188" s="245"/>
      <c r="I188" s="245"/>
      <c r="J188" s="245"/>
    </row>
  </sheetData>
  <mergeCells count="27">
    <mergeCell ref="B10:I10"/>
    <mergeCell ref="B11:H11"/>
    <mergeCell ref="C115:C116"/>
    <mergeCell ref="E115:E116"/>
    <mergeCell ref="F115:F116"/>
    <mergeCell ref="G115:G116"/>
    <mergeCell ref="H115:H116"/>
    <mergeCell ref="I115:I116"/>
    <mergeCell ref="D115:D116"/>
    <mergeCell ref="B89:H89"/>
    <mergeCell ref="B64:H64"/>
    <mergeCell ref="B186:C186"/>
    <mergeCell ref="B188:C188"/>
    <mergeCell ref="B9:I9"/>
    <mergeCell ref="B2:I2"/>
    <mergeCell ref="B3:I3"/>
    <mergeCell ref="B4:I4"/>
    <mergeCell ref="B6:B7"/>
    <mergeCell ref="C6:C7"/>
    <mergeCell ref="E6:E7"/>
    <mergeCell ref="F6:G6"/>
    <mergeCell ref="H6:H7"/>
    <mergeCell ref="I6:I7"/>
    <mergeCell ref="D6:D7"/>
    <mergeCell ref="B132:H132"/>
    <mergeCell ref="B159:H159"/>
    <mergeCell ref="B176:H176"/>
  </mergeCells>
  <pageMargins left="0.31496062992125984" right="0.19685039370078741" top="0.35433070866141736" bottom="0.35433070866141736" header="0.31496062992125984" footer="0.31496062992125984"/>
  <pageSetup paperSize="9" scale="76" fitToHeight="0" orientation="landscape" r:id="rId1"/>
  <ignoredErrors>
    <ignoredError sqref="H41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I27"/>
  <sheetViews>
    <sheetView tabSelected="1" topLeftCell="B7" zoomScale="95" zoomScaleNormal="95" workbookViewId="0">
      <selection activeCell="F22" sqref="F22"/>
    </sheetView>
  </sheetViews>
  <sheetFormatPr defaultRowHeight="15" x14ac:dyDescent="0.25"/>
  <cols>
    <col min="1" max="1" width="2.85546875" customWidth="1"/>
    <col min="2" max="2" width="45.7109375" style="10" customWidth="1"/>
    <col min="3" max="3" width="16.5703125" customWidth="1"/>
    <col min="4" max="4" width="14.5703125" customWidth="1"/>
    <col min="5" max="5" width="15" customWidth="1"/>
    <col min="6" max="6" width="14.85546875" customWidth="1"/>
    <col min="7" max="7" width="48.140625" customWidth="1"/>
  </cols>
  <sheetData>
    <row r="2" spans="2:7" x14ac:dyDescent="0.25">
      <c r="B2" s="291" t="s">
        <v>31</v>
      </c>
      <c r="C2" s="291"/>
      <c r="D2" s="291"/>
      <c r="E2" s="291"/>
      <c r="F2" s="291"/>
      <c r="G2" s="291"/>
    </row>
    <row r="3" spans="2:7" x14ac:dyDescent="0.25">
      <c r="B3" s="291" t="s">
        <v>504</v>
      </c>
      <c r="C3" s="291"/>
      <c r="D3" s="291"/>
      <c r="E3" s="291"/>
      <c r="F3" s="291"/>
      <c r="G3" s="291"/>
    </row>
    <row r="4" spans="2:7" x14ac:dyDescent="0.25">
      <c r="B4" s="291" t="s">
        <v>223</v>
      </c>
      <c r="C4" s="291"/>
      <c r="D4" s="291"/>
      <c r="E4" s="291"/>
      <c r="F4" s="291"/>
      <c r="G4" s="291"/>
    </row>
    <row r="6" spans="2:7" ht="32.25" customHeight="1" x14ac:dyDescent="0.25">
      <c r="B6" s="292" t="s">
        <v>21</v>
      </c>
      <c r="C6" s="294" t="s">
        <v>22</v>
      </c>
      <c r="D6" s="294" t="s">
        <v>28</v>
      </c>
      <c r="E6" s="294"/>
      <c r="F6" s="294" t="s">
        <v>25</v>
      </c>
      <c r="G6" s="294" t="s">
        <v>29</v>
      </c>
    </row>
    <row r="7" spans="2:7" ht="41.25" customHeight="1" x14ac:dyDescent="0.25">
      <c r="B7" s="293"/>
      <c r="C7" s="294"/>
      <c r="D7" s="9" t="s">
        <v>23</v>
      </c>
      <c r="E7" s="9" t="s">
        <v>24</v>
      </c>
      <c r="F7" s="294"/>
      <c r="G7" s="294"/>
    </row>
    <row r="8" spans="2:7" ht="21.75" customHeight="1" x14ac:dyDescent="0.25">
      <c r="B8" s="21">
        <v>1</v>
      </c>
      <c r="C8" s="11">
        <v>2</v>
      </c>
      <c r="D8" s="11">
        <v>3</v>
      </c>
      <c r="E8" s="11">
        <v>4</v>
      </c>
      <c r="F8" s="11">
        <v>5</v>
      </c>
      <c r="G8" s="11">
        <v>6</v>
      </c>
    </row>
    <row r="9" spans="2:7" ht="68.25" customHeight="1" x14ac:dyDescent="0.25">
      <c r="B9" s="12" t="s">
        <v>224</v>
      </c>
      <c r="C9" s="146" t="s">
        <v>163</v>
      </c>
      <c r="D9" s="144">
        <v>90.3</v>
      </c>
      <c r="E9" s="144">
        <v>80</v>
      </c>
      <c r="F9" s="144">
        <f>E9-D9</f>
        <v>-10.299999999999997</v>
      </c>
      <c r="G9" s="145" t="s">
        <v>495</v>
      </c>
    </row>
    <row r="10" spans="2:7" ht="49.5" customHeight="1" x14ac:dyDescent="0.25">
      <c r="B10" s="12" t="s">
        <v>225</v>
      </c>
      <c r="C10" s="146" t="s">
        <v>163</v>
      </c>
      <c r="D10" s="159">
        <v>90</v>
      </c>
      <c r="E10" s="159">
        <v>81.5</v>
      </c>
      <c r="F10" s="144">
        <f>E10-D10</f>
        <v>-8.5</v>
      </c>
      <c r="G10" s="145" t="s">
        <v>557</v>
      </c>
    </row>
    <row r="11" spans="2:7" ht="57" customHeight="1" x14ac:dyDescent="0.25">
      <c r="B11" s="12" t="s">
        <v>226</v>
      </c>
      <c r="C11" s="146" t="s">
        <v>163</v>
      </c>
      <c r="D11" s="159">
        <v>90</v>
      </c>
      <c r="E11" s="159">
        <v>95</v>
      </c>
      <c r="F11" s="144">
        <f>E11-D11</f>
        <v>5</v>
      </c>
      <c r="G11" s="145" t="s">
        <v>558</v>
      </c>
    </row>
    <row r="12" spans="2:7" ht="10.5" customHeight="1" x14ac:dyDescent="0.25">
      <c r="B12" s="13"/>
      <c r="C12" s="14"/>
      <c r="D12" s="14"/>
      <c r="E12" s="14"/>
      <c r="F12" s="14"/>
      <c r="G12" s="15"/>
    </row>
    <row r="13" spans="2:7" ht="26.25" customHeight="1" x14ac:dyDescent="0.25">
      <c r="B13" s="16" t="s">
        <v>34</v>
      </c>
      <c r="C13" s="108">
        <v>1</v>
      </c>
      <c r="D13" s="6"/>
      <c r="E13" s="6"/>
      <c r="F13" s="6"/>
      <c r="G13" s="17"/>
    </row>
    <row r="14" spans="2:7" ht="30.75" customHeight="1" x14ac:dyDescent="0.25">
      <c r="B14" s="16" t="s">
        <v>36</v>
      </c>
      <c r="C14" s="108">
        <v>2</v>
      </c>
      <c r="D14" s="6"/>
      <c r="E14" s="6"/>
      <c r="F14" s="6"/>
      <c r="G14" s="17"/>
    </row>
    <row r="15" spans="2:7" x14ac:dyDescent="0.25">
      <c r="B15" s="16" t="s">
        <v>35</v>
      </c>
      <c r="C15" s="109">
        <f>1/3*100</f>
        <v>33.333333333333329</v>
      </c>
      <c r="D15" s="6"/>
      <c r="E15" s="6"/>
      <c r="F15" s="6"/>
      <c r="G15" s="17"/>
    </row>
    <row r="16" spans="2:7" ht="9.75" customHeight="1" x14ac:dyDescent="0.25">
      <c r="B16" s="18"/>
      <c r="C16" s="19"/>
      <c r="D16" s="19"/>
      <c r="E16" s="19"/>
      <c r="F16" s="19"/>
      <c r="G16" s="20"/>
    </row>
    <row r="20" spans="2:9" ht="34.5" customHeight="1" x14ac:dyDescent="0.25">
      <c r="B20" s="249" t="s">
        <v>570</v>
      </c>
      <c r="C20" s="249"/>
      <c r="D20" s="241"/>
      <c r="E20" s="242"/>
      <c r="F20" s="246" t="s">
        <v>571</v>
      </c>
      <c r="G20" s="246"/>
      <c r="H20" s="244"/>
      <c r="I20" s="244"/>
    </row>
    <row r="21" spans="2:9" x14ac:dyDescent="0.25">
      <c r="B21" s="243"/>
      <c r="C21" s="241"/>
      <c r="D21" s="241"/>
      <c r="E21" s="242"/>
      <c r="F21" s="247"/>
      <c r="G21" s="247"/>
      <c r="H21" s="28"/>
      <c r="I21" s="28"/>
    </row>
    <row r="22" spans="2:9" ht="27" customHeight="1" x14ac:dyDescent="0.25">
      <c r="B22" s="249" t="s">
        <v>572</v>
      </c>
      <c r="C22" s="249"/>
      <c r="D22" s="241"/>
      <c r="E22" s="242"/>
      <c r="F22" s="248" t="s">
        <v>573</v>
      </c>
      <c r="G22" s="248"/>
      <c r="H22" s="245"/>
      <c r="I22" s="245"/>
    </row>
    <row r="23" spans="2:9" x14ac:dyDescent="0.25">
      <c r="B23" s="28"/>
    </row>
    <row r="24" spans="2:9" x14ac:dyDescent="0.25">
      <c r="B24" s="28"/>
    </row>
    <row r="25" spans="2:9" x14ac:dyDescent="0.25">
      <c r="B25" s="28"/>
    </row>
    <row r="26" spans="2:9" x14ac:dyDescent="0.25">
      <c r="B26" s="28"/>
    </row>
    <row r="27" spans="2:9" x14ac:dyDescent="0.25">
      <c r="B27" s="1"/>
    </row>
  </sheetData>
  <mergeCells count="10">
    <mergeCell ref="B20:C20"/>
    <mergeCell ref="B22:C22"/>
    <mergeCell ref="B2:G2"/>
    <mergeCell ref="B4:G4"/>
    <mergeCell ref="B3:G3"/>
    <mergeCell ref="B6:B7"/>
    <mergeCell ref="C6:C7"/>
    <mergeCell ref="D6:E6"/>
    <mergeCell ref="F6:F7"/>
    <mergeCell ref="G6:G7"/>
  </mergeCells>
  <pageMargins left="0.11811023622047245" right="0.11811023622047245" top="0.35433070866141736" bottom="0.15748031496062992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виконання ІС</vt:lpstr>
      <vt:lpstr>показники ІС</vt:lpstr>
      <vt:lpstr>індикатори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2020-02-21T15:50:58Z</cp:lastPrinted>
  <dcterms:created xsi:type="dcterms:W3CDTF">2006-09-28T05:33:49Z</dcterms:created>
  <dcterms:modified xsi:type="dcterms:W3CDTF">2022-02-10T10:29:05Z</dcterms:modified>
</cp:coreProperties>
</file>