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Юлія СЕЛЕЗНЬОВА_каб_32\РОБОЧА ГРУПА\ПАКЕТ ДОКУМЕНТІВ МЦП 2024-2025\"/>
    </mc:Choice>
  </mc:AlternateContent>
  <xr:revisionPtr revIDLastSave="0" documentId="13_ncr:1_{918B8005-EDDE-4285-95C4-95D08345F5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а" sheetId="1" r:id="rId1"/>
  </sheets>
  <definedNames>
    <definedName name="_xlnm.Print_Titles" localSheetId="0">програма!$4:$6</definedName>
    <definedName name="_xlnm.Print_Area" localSheetId="0">програма!$A$1:$K$417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3" i="1" l="1"/>
  <c r="J342" i="1" l="1"/>
  <c r="K337" i="1" l="1"/>
  <c r="J114" i="1" l="1"/>
  <c r="J100" i="1" l="1"/>
  <c r="J93" i="1"/>
  <c r="J86" i="1" l="1"/>
  <c r="K30" i="1" l="1"/>
  <c r="J30" i="1"/>
  <c r="K79" i="1"/>
  <c r="J79" i="1"/>
  <c r="K388" i="1" l="1"/>
  <c r="J388" i="1"/>
  <c r="K316" i="1" l="1"/>
  <c r="K362" i="1"/>
  <c r="J362" i="1"/>
  <c r="J364" i="1" s="1"/>
  <c r="K390" i="1" l="1"/>
  <c r="K179" i="1" l="1"/>
  <c r="J179" i="1"/>
  <c r="J186" i="1"/>
  <c r="J75" i="1" l="1"/>
  <c r="J68" i="1"/>
  <c r="H409" i="1" l="1"/>
  <c r="K410" i="1"/>
  <c r="J410" i="1"/>
  <c r="H408" i="1"/>
  <c r="K56" i="1"/>
  <c r="J56" i="1"/>
  <c r="K82" i="1"/>
  <c r="J82" i="1"/>
  <c r="H407" i="1" l="1"/>
  <c r="K232" i="1"/>
  <c r="K187" i="1"/>
  <c r="J187" i="1"/>
  <c r="K180" i="1"/>
  <c r="J182" i="1"/>
  <c r="J180" i="1" s="1"/>
  <c r="J367" i="1"/>
  <c r="K116" i="1"/>
  <c r="J116" i="1"/>
  <c r="K367" i="1" l="1"/>
  <c r="J369" i="1"/>
  <c r="H367" i="1"/>
  <c r="K256" i="1"/>
  <c r="H368" i="1" l="1"/>
  <c r="H366" i="1" s="1"/>
  <c r="K369" i="1"/>
  <c r="K378" i="1"/>
  <c r="K380" i="1" l="1"/>
  <c r="J380" i="1"/>
  <c r="J372" i="1" l="1"/>
  <c r="J165" i="1"/>
  <c r="K165" i="1" l="1"/>
  <c r="J374" i="1"/>
  <c r="H372" i="1"/>
  <c r="K372" i="1"/>
  <c r="K172" i="1"/>
  <c r="J172" i="1"/>
  <c r="K176" i="1" l="1"/>
  <c r="H373" i="1"/>
  <c r="H371" i="1" s="1"/>
  <c r="K374" i="1"/>
  <c r="H172" i="1"/>
  <c r="J176" i="1"/>
  <c r="H173" i="1"/>
  <c r="K265" i="1"/>
  <c r="J265" i="1"/>
  <c r="H171" i="1" l="1"/>
  <c r="K135" i="1"/>
  <c r="K121" i="1" l="1"/>
  <c r="K128" i="1"/>
  <c r="J121" i="1"/>
  <c r="K393" i="1" l="1"/>
  <c r="J393" i="1"/>
  <c r="J128" i="1"/>
  <c r="J125" i="1" l="1"/>
  <c r="H121" i="1"/>
  <c r="H122" i="1" l="1"/>
  <c r="H120" i="1" s="1"/>
  <c r="K125" i="1"/>
  <c r="J347" i="1"/>
  <c r="K347" i="1" s="1"/>
  <c r="J246" i="1"/>
  <c r="K132" i="1"/>
  <c r="J132" i="1"/>
  <c r="J135" i="1"/>
  <c r="J31" i="1"/>
  <c r="K31" i="1"/>
  <c r="K37" i="1" s="1"/>
  <c r="K42" i="1"/>
  <c r="J42" i="1"/>
  <c r="K41" i="1"/>
  <c r="J41" i="1"/>
  <c r="J399" i="1"/>
  <c r="K399" i="1"/>
  <c r="K396" i="1"/>
  <c r="J396" i="1"/>
  <c r="K400" i="1"/>
  <c r="H394" i="1"/>
  <c r="J37" i="1" l="1"/>
  <c r="H246" i="1"/>
  <c r="J36" i="1"/>
  <c r="K36" i="1"/>
  <c r="J349" i="1"/>
  <c r="K32" i="1"/>
  <c r="K38" i="1" s="1"/>
  <c r="J32" i="1"/>
  <c r="H347" i="1"/>
  <c r="H128" i="1"/>
  <c r="H129" i="1"/>
  <c r="K246" i="1"/>
  <c r="J248" i="1"/>
  <c r="J139" i="1"/>
  <c r="H136" i="1"/>
  <c r="H135" i="1"/>
  <c r="H31" i="1"/>
  <c r="H30" i="1"/>
  <c r="J400" i="1"/>
  <c r="H393" i="1"/>
  <c r="H392" i="1" s="1"/>
  <c r="H403" i="1"/>
  <c r="J405" i="1"/>
  <c r="K403" i="1"/>
  <c r="J38" i="1" l="1"/>
  <c r="K349" i="1"/>
  <c r="H404" i="1"/>
  <c r="H348" i="1"/>
  <c r="K139" i="1"/>
  <c r="H247" i="1"/>
  <c r="H245" i="1" s="1"/>
  <c r="K248" i="1"/>
  <c r="H127" i="1"/>
  <c r="H134" i="1"/>
  <c r="H29" i="1"/>
  <c r="K405" i="1"/>
  <c r="J278" i="1"/>
  <c r="K279" i="1"/>
  <c r="J286" i="1"/>
  <c r="H346" i="1" l="1"/>
  <c r="J279" i="1"/>
  <c r="K286" i="1"/>
  <c r="H389" i="1"/>
  <c r="K383" i="1"/>
  <c r="H388" i="1" l="1"/>
  <c r="J390" i="1"/>
  <c r="H387" i="1" l="1"/>
  <c r="J357" i="1"/>
  <c r="K357" i="1" l="1"/>
  <c r="J359" i="1"/>
  <c r="H357" i="1"/>
  <c r="K359" i="1" l="1"/>
  <c r="H358" i="1"/>
  <c r="H356" i="1"/>
  <c r="K364" i="1" l="1"/>
  <c r="H363" i="1"/>
  <c r="K142" i="1"/>
  <c r="J142" i="1"/>
  <c r="K19" i="1" l="1"/>
  <c r="J19" i="1"/>
  <c r="K14" i="1"/>
  <c r="J14" i="1"/>
  <c r="K9" i="1"/>
  <c r="J9" i="1"/>
  <c r="K193" i="1"/>
  <c r="J270" i="1"/>
  <c r="H266" i="1"/>
  <c r="J267" i="1"/>
  <c r="H270" i="1" l="1"/>
  <c r="J385" i="1"/>
  <c r="H383" i="1"/>
  <c r="K385" i="1"/>
  <c r="H384" i="1"/>
  <c r="J272" i="1"/>
  <c r="K270" i="1"/>
  <c r="H265" i="1"/>
  <c r="H264" i="1" s="1"/>
  <c r="K267" i="1"/>
  <c r="K241" i="1"/>
  <c r="J241" i="1"/>
  <c r="K272" i="1" l="1"/>
  <c r="H271" i="1"/>
  <c r="H269" i="1" s="1"/>
  <c r="J72" i="1"/>
  <c r="J65" i="1"/>
  <c r="K65" i="1"/>
  <c r="K352" i="1"/>
  <c r="J352" i="1"/>
  <c r="J160" i="1"/>
  <c r="J69" i="1" l="1"/>
  <c r="H353" i="1"/>
  <c r="J76" i="1"/>
  <c r="K69" i="1"/>
  <c r="K160" i="1"/>
  <c r="J354" i="1"/>
  <c r="H65" i="1"/>
  <c r="H72" i="1"/>
  <c r="H66" i="1"/>
  <c r="K354" i="1"/>
  <c r="H352" i="1"/>
  <c r="K183" i="1"/>
  <c r="J183" i="1"/>
  <c r="H351" i="1" l="1"/>
  <c r="K186" i="1"/>
  <c r="K76" i="1"/>
  <c r="H73" i="1"/>
  <c r="H71" i="1" s="1"/>
  <c r="H64" i="1"/>
  <c r="H179" i="1"/>
  <c r="H180" i="1"/>
  <c r="H178" i="1" l="1"/>
  <c r="K46" i="1"/>
  <c r="J46" i="1"/>
  <c r="K53" i="1"/>
  <c r="J53" i="1"/>
  <c r="K60" i="1"/>
  <c r="J60" i="1"/>
  <c r="J217" i="1"/>
  <c r="K217" i="1" s="1"/>
  <c r="K151" i="1"/>
  <c r="J62" i="1" l="1"/>
  <c r="K57" i="1"/>
  <c r="J57" i="1"/>
  <c r="K62" i="1"/>
  <c r="H54" i="1"/>
  <c r="H53" i="1"/>
  <c r="H60" i="1"/>
  <c r="H61" i="1"/>
  <c r="H59" i="1" l="1"/>
  <c r="H52" i="1"/>
  <c r="J205" i="1"/>
  <c r="K205" i="1" l="1"/>
  <c r="K243" i="1"/>
  <c r="H241" i="1"/>
  <c r="H242" i="1" l="1"/>
  <c r="H240" i="1" s="1"/>
  <c r="J243" i="1"/>
  <c r="K229" i="1" l="1"/>
  <c r="J229" i="1"/>
  <c r="K50" i="1"/>
  <c r="H46" i="1"/>
  <c r="J233" i="1" l="1"/>
  <c r="H230" i="1"/>
  <c r="H229" i="1"/>
  <c r="K233" i="1"/>
  <c r="J50" i="1"/>
  <c r="H47" i="1"/>
  <c r="H45" i="1" s="1"/>
  <c r="H228" i="1" l="1"/>
  <c r="J107" i="1"/>
  <c r="K100" i="1" l="1"/>
  <c r="K107" i="1"/>
  <c r="K93" i="1"/>
  <c r="K86" i="1"/>
  <c r="K114" i="1"/>
  <c r="J256" i="1"/>
  <c r="J251" i="1"/>
  <c r="J193" i="1"/>
  <c r="J198" i="1"/>
  <c r="J275" i="1"/>
  <c r="K222" i="1"/>
  <c r="J222" i="1"/>
  <c r="J226" i="1" l="1"/>
  <c r="J283" i="1"/>
  <c r="K198" i="1"/>
  <c r="K251" i="1"/>
  <c r="K275" i="1"/>
  <c r="H222" i="1"/>
  <c r="K226" i="1"/>
  <c r="H223" i="1"/>
  <c r="H221" i="1" l="1"/>
  <c r="K21" i="1"/>
  <c r="J21" i="1"/>
  <c r="K16" i="1"/>
  <c r="J16" i="1"/>
  <c r="K11" i="1"/>
  <c r="J11" i="1"/>
  <c r="H378" i="1" l="1"/>
  <c r="H379" i="1"/>
  <c r="K330" i="1"/>
  <c r="J330" i="1"/>
  <c r="K323" i="1"/>
  <c r="J323" i="1"/>
  <c r="J316" i="1"/>
  <c r="J151" i="1" l="1"/>
  <c r="K311" i="1" l="1"/>
  <c r="K306" i="1"/>
  <c r="K301" i="1"/>
  <c r="K296" i="1"/>
  <c r="K291" i="1"/>
  <c r="K25" i="1"/>
  <c r="J311" i="1"/>
  <c r="J306" i="1"/>
  <c r="J301" i="1"/>
  <c r="J296" i="1"/>
  <c r="J291" i="1"/>
  <c r="J25" i="1"/>
  <c r="J236" i="1"/>
  <c r="K342" i="1" l="1"/>
  <c r="J238" i="1"/>
  <c r="K236" i="1"/>
  <c r="J344" i="1"/>
  <c r="H342" i="1"/>
  <c r="H337" i="1"/>
  <c r="K344" i="1" l="1"/>
  <c r="H343" i="1"/>
  <c r="H341" i="1" s="1"/>
  <c r="H362" i="1"/>
  <c r="K339" i="1"/>
  <c r="J339" i="1"/>
  <c r="H218" i="1"/>
  <c r="J219" i="1"/>
  <c r="K212" i="1"/>
  <c r="J212" i="1"/>
  <c r="K219" i="1" l="1"/>
  <c r="H361" i="1"/>
  <c r="H338" i="1"/>
  <c r="H336" i="1" s="1"/>
  <c r="H217" i="1"/>
  <c r="H216" i="1" s="1"/>
  <c r="H212" i="1"/>
  <c r="H323" i="1"/>
  <c r="K333" i="1"/>
  <c r="J333" i="1"/>
  <c r="K326" i="1"/>
  <c r="J326" i="1"/>
  <c r="K319" i="1"/>
  <c r="J319" i="1"/>
  <c r="H213" i="1" l="1"/>
  <c r="H211" i="1" s="1"/>
  <c r="H205" i="1"/>
  <c r="J214" i="1"/>
  <c r="K214" i="1"/>
  <c r="H206" i="1"/>
  <c r="J209" i="1"/>
  <c r="K209" i="1"/>
  <c r="H316" i="1"/>
  <c r="H331" i="1"/>
  <c r="H330" i="1"/>
  <c r="K334" i="1"/>
  <c r="J334" i="1"/>
  <c r="J327" i="1"/>
  <c r="H324" i="1"/>
  <c r="H322" i="1" s="1"/>
  <c r="K327" i="1"/>
  <c r="H317" i="1"/>
  <c r="J320" i="1"/>
  <c r="K320" i="1"/>
  <c r="H287" i="1"/>
  <c r="J288" i="1"/>
  <c r="H204" i="1" l="1"/>
  <c r="K288" i="1"/>
  <c r="H315" i="1"/>
  <c r="H329" i="1"/>
  <c r="H286" i="1"/>
  <c r="H285" i="1" s="1"/>
  <c r="H165" i="1" l="1"/>
  <c r="H166" i="1" l="1"/>
  <c r="J169" i="1"/>
  <c r="K169" i="1"/>
  <c r="H164" i="1" l="1"/>
  <c r="H161" i="1"/>
  <c r="J162" i="1"/>
  <c r="K162" i="1" l="1"/>
  <c r="H160" i="1"/>
  <c r="H159" i="1" s="1"/>
  <c r="J155" i="1"/>
  <c r="K154" i="1"/>
  <c r="J154" i="1"/>
  <c r="K145" i="1"/>
  <c r="J145" i="1"/>
  <c r="K147" i="1"/>
  <c r="J147" i="1"/>
  <c r="J157" i="1" l="1"/>
  <c r="J156" i="1"/>
  <c r="J148" i="1"/>
  <c r="K148" i="1"/>
  <c r="K146" i="1"/>
  <c r="H143" i="1"/>
  <c r="H142" i="1"/>
  <c r="J146" i="1"/>
  <c r="H151" i="1"/>
  <c r="K156" i="1" l="1"/>
  <c r="H141" i="1"/>
  <c r="K155" i="1"/>
  <c r="H152" i="1"/>
  <c r="H150" i="1" s="1"/>
  <c r="K259" i="1" l="1"/>
  <c r="J259" i="1"/>
  <c r="K261" i="1"/>
  <c r="J261" i="1"/>
  <c r="J262" i="1" l="1"/>
  <c r="K262" i="1"/>
  <c r="J260" i="1"/>
  <c r="K118" i="1"/>
  <c r="H107" i="1"/>
  <c r="J104" i="1"/>
  <c r="H93" i="1"/>
  <c r="J90" i="1"/>
  <c r="K97" i="1" l="1"/>
  <c r="H256" i="1"/>
  <c r="J118" i="1"/>
  <c r="K111" i="1"/>
  <c r="K104" i="1"/>
  <c r="H86" i="1"/>
  <c r="J97" i="1"/>
  <c r="H114" i="1"/>
  <c r="H100" i="1"/>
  <c r="J111" i="1"/>
  <c r="H115" i="1"/>
  <c r="J83" i="1"/>
  <c r="H94" i="1" l="1"/>
  <c r="H92" i="1" s="1"/>
  <c r="H87" i="1"/>
  <c r="H85" i="1" s="1"/>
  <c r="K90" i="1"/>
  <c r="H257" i="1"/>
  <c r="H255" i="1" s="1"/>
  <c r="K260" i="1"/>
  <c r="H113" i="1"/>
  <c r="H108" i="1"/>
  <c r="H106" i="1" s="1"/>
  <c r="H101" i="1"/>
  <c r="H99" i="1" s="1"/>
  <c r="H79" i="1"/>
  <c r="H199" i="1"/>
  <c r="K253" i="1"/>
  <c r="J195" i="1"/>
  <c r="H80" i="1" l="1"/>
  <c r="H78" i="1" s="1"/>
  <c r="K83" i="1"/>
  <c r="J202" i="1"/>
  <c r="J253" i="1"/>
  <c r="H275" i="1"/>
  <c r="K283" i="1"/>
  <c r="H193" i="1"/>
  <c r="K202" i="1"/>
  <c r="H198" i="1"/>
  <c r="H197" i="1" s="1"/>
  <c r="H194" i="1"/>
  <c r="H251" i="1"/>
  <c r="H252" i="1"/>
  <c r="J190" i="1"/>
  <c r="K190" i="1"/>
  <c r="K313" i="1"/>
  <c r="H311" i="1"/>
  <c r="H307" i="1"/>
  <c r="J308" i="1"/>
  <c r="K303" i="1"/>
  <c r="J303" i="1"/>
  <c r="H297" i="1"/>
  <c r="H296" i="1"/>
  <c r="H292" i="1"/>
  <c r="H291" i="1"/>
  <c r="H20" i="1"/>
  <c r="H19" i="1"/>
  <c r="H15" i="1"/>
  <c r="H14" i="1"/>
  <c r="H10" i="1"/>
  <c r="H9" i="1"/>
  <c r="K27" i="1"/>
  <c r="J27" i="1"/>
  <c r="H41" i="1"/>
  <c r="K195" i="1" l="1"/>
  <c r="H192" i="1"/>
  <c r="H250" i="1"/>
  <c r="H276" i="1"/>
  <c r="H274" i="1" s="1"/>
  <c r="H26" i="1"/>
  <c r="H8" i="1"/>
  <c r="K43" i="1"/>
  <c r="H18" i="1"/>
  <c r="H13" i="1"/>
  <c r="H186" i="1"/>
  <c r="H25" i="1"/>
  <c r="H187" i="1"/>
  <c r="H42" i="1"/>
  <c r="H40" i="1" s="1"/>
  <c r="H302" i="1"/>
  <c r="K308" i="1"/>
  <c r="H306" i="1"/>
  <c r="H305" i="1" s="1"/>
  <c r="H295" i="1"/>
  <c r="J298" i="1"/>
  <c r="J293" i="1"/>
  <c r="H312" i="1"/>
  <c r="H310" i="1" s="1"/>
  <c r="J313" i="1"/>
  <c r="H301" i="1"/>
  <c r="K298" i="1"/>
  <c r="H290" i="1"/>
  <c r="K293" i="1"/>
  <c r="J43" i="1"/>
  <c r="H24" i="1" l="1"/>
  <c r="H300" i="1"/>
  <c r="H185" i="1"/>
  <c r="K238" i="1"/>
  <c r="H237" i="1"/>
  <c r="H414" i="1" s="1"/>
  <c r="H236" i="1"/>
  <c r="H413" i="1" l="1"/>
  <c r="H382" i="1"/>
  <c r="H402" i="1"/>
  <c r="H377" i="1"/>
  <c r="H235" i="1"/>
  <c r="H412" i="1" l="1"/>
</calcChain>
</file>

<file path=xl/sharedStrings.xml><?xml version="1.0" encoding="utf-8"?>
<sst xmlns="http://schemas.openxmlformats.org/spreadsheetml/2006/main" count="684" uniqueCount="204">
  <si>
    <t>Перелік завдань і заходів</t>
  </si>
  <si>
    <t>Оперативна ціль Стратегії розвитку міста Києва</t>
  </si>
  <si>
    <t>Завдання програми</t>
  </si>
  <si>
    <t>Заходи програми</t>
  </si>
  <si>
    <t>Строки виконання</t>
  </si>
  <si>
    <t>Виконання заходу</t>
  </si>
  <si>
    <t>Джерела фінансування</t>
  </si>
  <si>
    <t>Обсяг фінансування, тис.грн.</t>
  </si>
  <si>
    <t>Очікуваний результат (результативний показник)</t>
  </si>
  <si>
    <t>Назва показника</t>
  </si>
  <si>
    <t>2024 рік</t>
  </si>
  <si>
    <t>2025 рік</t>
  </si>
  <si>
    <t>2024 - 2025</t>
  </si>
  <si>
    <t>Бюджет міста Києва</t>
  </si>
  <si>
    <t>Всього</t>
  </si>
  <si>
    <t xml:space="preserve">Підтримка закладів охорони здоров"я для забезпечення надання киянам якісної та доступної медицини </t>
  </si>
  <si>
    <t>показник ефективності: середні витрати на 1 пацієнта, тис. грн.</t>
  </si>
  <si>
    <t>показник якості: рівень виконання заходу, %</t>
  </si>
  <si>
    <t>показник витрат: обсяг видатків, тис.грн.</t>
  </si>
  <si>
    <t>показник витрат : обсяг видатків, тис.грн.</t>
  </si>
  <si>
    <t>показник продукту: кількість хворих, які забезпечені засобами догляду за стомою, осіб</t>
  </si>
  <si>
    <t>показник продукту:кількість пацієнтів, які  забезпечені лікарськими засобами, виробами медичного призначення, витратними матеріалами, необхідними для проведення екстракорпоральних методів лікування (гемодіалізу, гемофільтрації, перитонеального діалізу та інш.), осіб</t>
  </si>
  <si>
    <t>показник продукту: кількість пацієнтів, які  забезпечені лабораторними реактивами для обстеження  захворювань нирок, пацієнтів до- та після трансплантації солідних органів і тканин, у тому числі реактивами для верифікації морфологічних змін в нирках після пункційної біопсії та хворих, які отримують екстракорпоральні методи лікування, осіб</t>
  </si>
  <si>
    <t>показник ефективності: вартість одного дослідження, тис. грн</t>
  </si>
  <si>
    <t>показник продукту: кількість пацієнтів пацієнтів дитячого віку (до 18 років)  з хворобою Кавасакі, які  забезпечені лікарськими засобами, осіб</t>
  </si>
  <si>
    <t>показник продукту:</t>
  </si>
  <si>
    <t xml:space="preserve"> - чоловіків, осіб</t>
  </si>
  <si>
    <t>показник продукту: кількість пацієнтів, які  забезпеченіетіотропним противірусним лікуванням хворих на вірусний гепатит В і С, осіб:</t>
  </si>
  <si>
    <t xml:space="preserve"> - жінок, осіб</t>
  </si>
  <si>
    <t>показник продукту: кількість пацієнтів хворих на мукополісахаридоз, які  забезпечені лікарськими засобами, осіб</t>
  </si>
  <si>
    <t>показник продукту: кількість пацієнтів, які мають вади слуху,  що забезпечені кохлеарними імплантами, осіб</t>
  </si>
  <si>
    <t>показник продукту: кількість хворих  з тирозинемією, які забезпечені  лікувальним харчуванням осіб</t>
  </si>
  <si>
    <t>показник продукту: кількість  пацієнтів дитячого віку (до 18 років),  хворих на метілмалонову аміноацидурію, які забезпечені  лікувальним харчуванням осіб</t>
  </si>
  <si>
    <t>показник продукту: кількість пацієнтів дитячого віку (до 18 років), хворих на цукровий діабет, які забезпечені препаратами глюкагону для невідкладної терапії гіпоглікемій, осіб</t>
  </si>
  <si>
    <t>показник витрат : обсяг видатків, тис .грн.</t>
  </si>
  <si>
    <t>Департамент охорони здоров'я міста Києва, заклади охорони здоров'я, що засновані на комунальній власності територіальної громади м. Києва, комунальне підприємство "Інженерний центр", комунальне підприємство з питань будівництва житлових будинків "Житлоінвестбуд-УКБ"</t>
  </si>
  <si>
    <t>Департамент охорони здоров'я міста Києва,заклади охорони здоров'я, що засновані на комунальній власності територіальної громади м. Києва, комунальне підприємство "Інженерний центр"</t>
  </si>
  <si>
    <t>показник ефективності: середні витрати на один заклад, тис.грн</t>
  </si>
  <si>
    <t>2.26.  Забезпечення лікарськими засобами дорослих  з хворобою Гоше</t>
  </si>
  <si>
    <t>2.27. Забезпечення лікарськими засобами пацієнтів дитячого віку (до 18 років) з хворобою Гоше</t>
  </si>
  <si>
    <t>показник продукту: кількість  пацієнтів з онкогематологічною патологією, які забезпечені  хіміопрепаратами та супроводжуючою терапією, осіб</t>
  </si>
  <si>
    <t>показник продукту: кількість машино/годин</t>
  </si>
  <si>
    <t>показник ефективності: середні витрати на одну машино/годину, грн.</t>
  </si>
  <si>
    <t>показник продукту: кількість  пацієнтів, що потребують хірургічного втручання та забезпечені медичними виробами для кардіохірургічної допомоги, осіб</t>
  </si>
  <si>
    <t xml:space="preserve">1. Приведення закладів у відповідність до сучасних потреб </t>
  </si>
  <si>
    <t xml:space="preserve">I. Забезпечення якісної та доступної медицини в м. Києві            </t>
  </si>
  <si>
    <t>показник витрат : обсяг видатків, тис. грн.</t>
  </si>
  <si>
    <t>показник якості*: рівень фінансування заходу, %</t>
  </si>
  <si>
    <t>Департамент охорони здоров'я міста Києва, заклади охорони здоров'я, що засновані на комунальній власності територіальної громади м. Києва</t>
  </si>
  <si>
    <t>показник продукту: кількість об'єктів будівництва, реконструкції та реставрації, одиниць</t>
  </si>
  <si>
    <t>показник продукту: кількість об'єктів в яких проведено капітальні ремонти, одиниць</t>
  </si>
  <si>
    <t>показник якості**: рівень виконання заходу, %</t>
  </si>
  <si>
    <t>Департамент охорони здоров'я, заклади охорони здоров'я, що засновані на комунальній власності територіальної громади м. Києва</t>
  </si>
  <si>
    <t>* - показник розраховується відповідно до затверджених кошторисних призначень на відповідний рік;</t>
  </si>
  <si>
    <t>** - показник розраховується з урахуванням забезпечення за кошти державного бюджету та інших джерел.</t>
  </si>
  <si>
    <t>показник ефективності: середні витрати на одного пацієнта, тис. грн.</t>
  </si>
  <si>
    <t>показник продукту: кількість пацієнтів  з хворобою Гоше, які  забезпечені лікарськими засобами, осіб</t>
  </si>
  <si>
    <t>показник продукту: кількість пацієнтів дитячого віку (до 18 років) з хворобою Гоше, які  забезпечені лікарськими засобами, осіб</t>
  </si>
  <si>
    <t>показник продукту: кількість  пацієнтів паліативних відділень, які забезпечені  засобами догляду (підгузки, пелюшки сечопоглинальні), осіб</t>
  </si>
  <si>
    <t>показник продукту: кількість проведених оперативних втручань з ендопротезування суглобів, операцій, од.</t>
  </si>
  <si>
    <t>показник ефективності: середні витрати на одне оперативне втручання, грн.</t>
  </si>
  <si>
    <t>показник продукту: кількість  пацієнтів, що отримали лікування травм, осіб</t>
  </si>
  <si>
    <t xml:space="preserve">3.1. Забезпечення функціонування інформаційно-аналітичної системи галузі охорони здоров'я в частині  виконання заходів, пов'язаних із збором, обробкою, зберіганням та передачі медико-статистичної інформації. </t>
  </si>
  <si>
    <t xml:space="preserve">Департамент охорони здоров'я, КНП "Центр екстреної медичної допомоги та медицини катастроф міста Києва" </t>
  </si>
  <si>
    <t>РАЗОМ ПО МЦП</t>
  </si>
  <si>
    <t>Департамент охорони здоров'я, КНП «Київський міський інформаційно-аналітичний центр медичної статистики»</t>
  </si>
  <si>
    <t xml:space="preserve"> -чоловіків</t>
  </si>
  <si>
    <t xml:space="preserve"> -жінок</t>
  </si>
  <si>
    <t>кількість заготовленої крові та її компонентів, донацій, в тому числі:</t>
  </si>
  <si>
    <t>кількість виготовлених вірусінактивованих та кріоконсервованих компонентів крові, доз, в тому числі:</t>
  </si>
  <si>
    <t xml:space="preserve">показник ефективності : середні витрати на підтримку закладу, тис. грн. </t>
  </si>
  <si>
    <t>показник якості *: рівень забезпечення закладів автотранспортом, %</t>
  </si>
  <si>
    <t>показник якості*: рівень виконання заходу, %</t>
  </si>
  <si>
    <t>показник продукту: кількість  пацієнтів  з демієлінізуючими захворюваннями нервової системи, які забезпечені лікарськими засобами, осіб</t>
  </si>
  <si>
    <t>Департамент охорони здоров'я, КНП «Київська стоматологія»</t>
  </si>
  <si>
    <t xml:space="preserve"> - обсяг видатків на зубопротезування, тис. грн.</t>
  </si>
  <si>
    <t>показник витрат : обсяг видатків, тис.грн., в т.ч.:</t>
  </si>
  <si>
    <t xml:space="preserve"> - обсяг видатків на лікування, тис. грн.</t>
  </si>
  <si>
    <t xml:space="preserve"> - кількість  пацієнтів пільгової категорії, які забезпечені лікуванням, осіб</t>
  </si>
  <si>
    <t>показник продукту: кількість  пацієнтів пільгової категорії, які забезпечені послугами із зубного протезування  (за винятком протезування із дорогоцінних металів) та лікуванням, осіб, в т.ч.:</t>
  </si>
  <si>
    <t xml:space="preserve"> -  приладами для постійної інфузії інсуліну (інсуліновими помпами), осіб</t>
  </si>
  <si>
    <t xml:space="preserve"> - на забезпечення приладами для постійної інфузії інсуліну (інсуліновими помпами), тис. грн.</t>
  </si>
  <si>
    <t>показник продукту: кількість дітей до 2-х років, які забезпечені пільговим харчуванням, осіб</t>
  </si>
  <si>
    <t>показник продукту: кількість хворих на ідіопатичну тромбоцитопенічну пурпуру, які забезпечені лікарськими засобами, осіб</t>
  </si>
  <si>
    <t>показник продукту: кількість пацієнтів з вродженою або набутою туговухістю,  які забезпечені  мовними процесорами, осіб</t>
  </si>
  <si>
    <t>показник продукту: кількість  пацієнтів з судинно-мозковими захворюваннями, які забезпечені медичними виробами та лікарськими засобами для проведення нейрохірургічних втручань, осіб</t>
  </si>
  <si>
    <t>3.4. Забезпечення  надання пільговим категоріям населення послуг із зубного протезування та лікування у відповідності до Закону України "Про статус ветеранів війни, гарантії їх соціального захисту", Закону України "Про основні засади соціального захисту ветеранів праці та інших громадян похилого віку в Україні", Закону України "Про жертви нацистських переслідувань, Закон України "Про реабілітацію жертв репресій комуністичного тоталітарного режиму 1917-1991 років"</t>
  </si>
  <si>
    <t>показник продукту: кількість пацієнтів, які забезпеченімедичними виробати  до експрес - аналізаторів для вимірювання глікованого гемоглобіну, осіб</t>
  </si>
  <si>
    <t>показник продукту: кількість дітей (до 18 років) з лабільним перебігом цукрового діабету, які забезпечені приладами для постійної інфузії інсуліну (інсуліновими помпами) та медичними виробами до приладів для постійної інфузії інсуліну (за комісійним висновком), осіб, в т.ч.:</t>
  </si>
  <si>
    <t xml:space="preserve"> - на забезпечення медичними виробами до приладів для постійної інфузії інсуліну (інсуліновими помпами), тис. грн.</t>
  </si>
  <si>
    <t xml:space="preserve"> - медичними виробами до приладів для постійної інфузії інсуліну (інсулінових помп), осіб</t>
  </si>
  <si>
    <t xml:space="preserve"> - забезпечення приладами для постійної інфузії інсуліну (інсуліновими помпами), тис. грн.</t>
  </si>
  <si>
    <t xml:space="preserve"> - забезпечення медчиними виробами до приладів для постійної інфузії інсуліну (за комісійним висновком), тис. грн.</t>
  </si>
  <si>
    <t>показник ефективності: середні витрати на одного пацієнта, тис. грн., в .т.ч:</t>
  </si>
  <si>
    <t>показник ефективності: середні витрати на одного  пацієнта, тис. грн.</t>
  </si>
  <si>
    <t>показник продукту: кількість пацієнтів, які забезпечені лікарськими засобами та медичними виробами  необхідними для проведення екстракорпоральних методів лікування у дітей та дорослих, осіб</t>
  </si>
  <si>
    <t>показник ефективності: середні витрати на  одного  пацієнта, тис. грн.</t>
  </si>
  <si>
    <t>показник продукту: кількість пацієнтів лікарськими засобами хворих з ВІЛ - інфекцією в термінальній стадії з ускладненим перебігом, осіб</t>
  </si>
  <si>
    <t>показник ефективності: середні витрати заготівлю крові та її компонентів, виготовлениз з них  крові вірусінактивованих та кріоконсервованих компонентів крові, тис. грн.</t>
  </si>
  <si>
    <t>показник продукту: кількість пацієнтів, які  забезпечені лікарськими засобами для лікування дихальних розладів новонароджених, осіб</t>
  </si>
  <si>
    <t>показник продукту: кількість осіб,з вродженою або набутою туговухістю, що забезпечені слуховими апаратами, осіб</t>
  </si>
  <si>
    <t>показник продукту: кількість пацієнтів  хворих на коагулопатію,  які забезпечені   лікарськими засобами для  замісної терапії, осіб</t>
  </si>
  <si>
    <t>показник продукту: кількість  пацієнтів хворих  акромегалією,  які забезпечені   лікарськими засобами, осіб</t>
  </si>
  <si>
    <t>показник продукту: кількість  пацієнтів з онкологією, які забезпечені лікарськими засобами для супроводу  лікування онкології, осіб</t>
  </si>
  <si>
    <t xml:space="preserve"> - кількість  пацієнтів пільгової категорії, які забезпечені зубопротезуванням, осіб</t>
  </si>
  <si>
    <t>показник ефективності: середні витрати на одного пацієнта, що забезпечений послугами із зубного протезування, тис. грн.,</t>
  </si>
  <si>
    <t>показник ефективності:  середні витрати на одного пацієнта, що забезпечений лікуванням, тис. грн.,</t>
  </si>
  <si>
    <t>Департамент охорони здоров'я, дитячий спеціалізований санаторій «Ялинка», дитячий спеціалізований санаторій «Лісова поляна»</t>
  </si>
  <si>
    <t>2.3. Забезпечення медичними виробами проведення вимірювання глікованого гемоглобіну у хворих на цукровий діабет</t>
  </si>
  <si>
    <t>2.1.  Забезпечення пацієнтів дитячого віку (до 18 років), хворих на цукровий діабет, препаратами глюкагону для невідкладної терапії гіпоглікемій</t>
  </si>
  <si>
    <t>2.2.  Забезпечення пацієнтів дитячого віку (до 18 років) з лабільним перебігом цукрового діабету приладами для постійної інфузії інсуліну (інсуліновими помпами) та медичними виробами до приладів для постійної інфузії інсуліну (за комісійним висновком)</t>
  </si>
  <si>
    <t>2.4.  Забезпечення пацієнтів дитячого віку (до 18 років) з передчасним статевим розвитком аналогами гонадотропін-рилізинг гормону</t>
  </si>
  <si>
    <t>2.5. Забезпечення препаратами гормону росту пацієнтів дитячого віку (до 18 років), хворих на гіпофізарний нанізм та нанізм різного походження</t>
  </si>
  <si>
    <t xml:space="preserve">2.6. Забезпечення лікарськими засобами  хворих з акромегалією </t>
  </si>
  <si>
    <t>2.7. Забезпечення лікарськими засобами хворих на муковісцидоз</t>
  </si>
  <si>
    <t>2.8. Забезпечення лікувальним харчуванням хворих на муковісцидоз</t>
  </si>
  <si>
    <t xml:space="preserve">2.9. Забезпечення лікувальним харчуванням хворих на фенілкетонурію </t>
  </si>
  <si>
    <t>2.10. Забезпечення лікарськими засобами хворих на ювенільний ревматоїдний артрит</t>
  </si>
  <si>
    <t>2.11. Забезпечення лікарськими засобами хворих на хворобу Стілла</t>
  </si>
  <si>
    <t>2.12. Забезпечення лікарськими засобами хворих на системну склеродермію</t>
  </si>
  <si>
    <t>2.13. Забезпечення лікарськими засобами хворих на системні васкуліти</t>
  </si>
  <si>
    <t>2.14. Забезпечення лікарськими засобами хворих на спондилоартрити</t>
  </si>
  <si>
    <t>2.17.  Забезпечення лікарськими засобами пацієнтів  з хворобою Гоше</t>
  </si>
  <si>
    <t>2.18. Забезпечення лікарськими засобами хворих на мукополісахаридоз</t>
  </si>
  <si>
    <t>2.19. Забезпечення медичними виробами хворих на бульозний епідермоліз</t>
  </si>
  <si>
    <t>2.20. Забезпечення лікувальним харчуванням хворих на бульозний епідермоліз</t>
  </si>
  <si>
    <t xml:space="preserve">2.21.  Забезпечення  лікарськими засобами та медичними виробами хворих на запальні хронічні захворювання кишківника (хвороба Крона та виразковий коліт)     </t>
  </si>
  <si>
    <t xml:space="preserve">2.22.  Забезпечення лікувальним харчуванням пацієнтів дитячого віку (до 18 років), хворих на запальні хвороби товстого кишківника (хвороба Крона та виразковий коліт)                  </t>
  </si>
  <si>
    <t>2.23. Забезпечення лікарськими засобами пацієнтів дитячого віку (до 18 років) з хворобою Кавасакі</t>
  </si>
  <si>
    <t>2.24.  Забезпечення лікарськими засобами хворих на легеневу гіпертензію</t>
  </si>
  <si>
    <t>2.25. Забезпечення  лікарськими засобами хворих  на тирозинемією</t>
  </si>
  <si>
    <t xml:space="preserve">2.26. Забезпечення  лікувальним харчуванням хворих на тирозинемію </t>
  </si>
  <si>
    <t>2.27. Забезпечення   лікувальним харчуванням  пацієнтів дитячого віку (до 18 років), хворих на метілмалонову аміноацидурію</t>
  </si>
  <si>
    <t>2.28. Забезпечення лікарськими засобами хворих на  первинний імунодефіцит</t>
  </si>
  <si>
    <t>2.29. Забезпечення лікарськими засобами хворим на розсіяний склероз</t>
  </si>
  <si>
    <t xml:space="preserve">2.37.  Забезпечення  витратними матеріалами проведення забору донорської крові та її компонентів, виготовлення вірусінактивованих та кріоконсервованих компонентів крові </t>
  </si>
  <si>
    <t xml:space="preserve">2.38. Забезпечення лікарськими засобами  лікування дихальних розладів у новонароджених  </t>
  </si>
  <si>
    <t>показник ефективності: середні витрати на один обєкт, тис. грн</t>
  </si>
  <si>
    <t>показник продукту : кількість закладів, що отримують підтримку, од.</t>
  </si>
  <si>
    <t>показник продукту : кількість закладів, що отримують відшкодування витрат на безоплатний та пільговий відпуск лікарських засобів, од.</t>
  </si>
  <si>
    <t>показник продукту: кількість пацієнтів із захворюванням нирок, які будуть забезпечені лікарськими засобами  для корекції порушень фосфорно-кальцієвого обміну, вторинного гіперпаратиреозу, осіб</t>
  </si>
  <si>
    <t>показник продукту: кількість пацієнтів, які  забезпечені лікувальним харчуванням для спеціальних медичних цілей, призначених для дієтичного харчування дітей віком від 4 років та дорослих при хронічній хворобі нирок, які лікуються методами замісної ниркової терапії, осіб</t>
  </si>
  <si>
    <t>показник ефективності: середня вартість інформаційно-аналітичної послуги,
 тис. грн</t>
  </si>
  <si>
    <t>показник продукту: кількість пацієнтів хворих на хворобу Стілла, які  забезпечені лікарськими засобами, осіб, в т.ч.:</t>
  </si>
  <si>
    <t>показник продукту: кількість пацієнтів, які  забезпечені лікарськими засобами для лікування  легеневої гіпертензії, осіб, в т.ч.:</t>
  </si>
  <si>
    <t>показник продукту: кількість пацієнтів хворих на спондилоартрити, які  забезпечені лікарськими засобами, осіб, в т.ч.:</t>
  </si>
  <si>
    <t>показник продукту: кількість пацієнтів хворих на системні васкуліти, які  забезпеченілікарськими засобами, осіб, в т.ч.:</t>
  </si>
  <si>
    <t>показник продукту: кількість пацієнтів хворих на системну склеродермію, які  забезпечені лікарськими засобами, осіб, в т.ч.:</t>
  </si>
  <si>
    <t>показник продукту: кількість пацієнтів хворих на ювенільний ревматоїдний артрит, які  забезпечені лікарськими засобами, осіб, в т.ч.:</t>
  </si>
  <si>
    <t>2.15. Забезпечення лікарськими засобами  хворих на спінально - м'язову атрофію (за комісійним висновком)</t>
  </si>
  <si>
    <t>2.16. Забезпечення лікувальним харчуванням хворих на спінально - м'язову атрофію  (за комісійним висновком)</t>
  </si>
  <si>
    <t xml:space="preserve">2.39.  Забезпечення пацієнтів лікарськими засобами, медичними виробами  для проведення екстракорпоральних методів лікування (гемодіалізу, гемофільтрації, перитонеального діалізу тощо) </t>
  </si>
  <si>
    <t xml:space="preserve">2.40.  Забезпечення пацієнтів лікарськими засобами для корекції порушень фосфорно-кальцієвого обміну, вторинного гіперпаратиреозу </t>
  </si>
  <si>
    <t xml:space="preserve">2.41.  Забезпечення пацієнтів лікарськими засобами та медичними виробами  для проведення екстракорпоральних методів лікування </t>
  </si>
  <si>
    <t>2.42. Забезпечення  лабораторними  реактивами для обстеження пацієнтів із захворюваннями нирок</t>
  </si>
  <si>
    <t>2.43.  Забезпечення лікувальним харчуванням  дітей віком від 4 років та дорослих при хронічній хворобі нирок</t>
  </si>
  <si>
    <t>2.45. Забезпечення кохлеарними імплантами пацієнтів, які мають вади слуху за медичними показами</t>
  </si>
  <si>
    <t>2.44. Забезпечення слуховими апаратами пацієнтів із вродженою або набутою туговухістю</t>
  </si>
  <si>
    <t>2.46. Забезпечення/заміна мовних процесорів  пацієнтам, які мають вади слуху за медичними показами</t>
  </si>
  <si>
    <t>2.47.  Забезпечення пацієнтів медичними виробами при офтальмологічних захворюваннях (катаракта, глаукома, вітректомія тощо)</t>
  </si>
  <si>
    <t xml:space="preserve">2.48. Забезпечення пацієнтів медичими виробами та інструментарієм для їх імплантації при проведенні оперативних втручань з ендопротезування суглобів </t>
  </si>
  <si>
    <t>2.49. Забезпечення  пацієнтів медичними виробами при наданні кардіохірургічної допомоги</t>
  </si>
  <si>
    <t>2.50. Забезпечення пацієнтів 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</si>
  <si>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2.51. Забезпечення  лікарськими засобами та медичними виробами пацієнтів з судинно-мозковими захворюваннями, яким показано  нейрохірургічні втручання </t>
  </si>
  <si>
    <t>2.52. Забезпечення  засобами догляду  пацієнтів паліативних відділень (підгузки, пелюшки)</t>
  </si>
  <si>
    <t>показник продукту: кількість  пацієнтів, які забезпечені витратними матеріалами для проведення лікування офтальмологічних захворювань (катаракта, глаукома, вітректомія тощо), осіб</t>
  </si>
  <si>
    <t>2.53. Забезпечення хворих засобами догляду за стомою</t>
  </si>
  <si>
    <t xml:space="preserve">3.5. Підтримка закладів охорони здоров'я, які знаходяться в статусі бюджетних установ до завершення їх реорганізації 
</t>
  </si>
  <si>
    <t xml:space="preserve">1.1.      Будівництво, реконструкція та реставрація  в закладах охорони здоров'я, що засновані на комунальній власності територіальної громади міста Києва та установах, підприємствах, що підпорядковані Департаменту охорони здоров'я міста Києва, оновлення та забезпечення їх матеріально-технічної бази </t>
  </si>
  <si>
    <t xml:space="preserve">1.2.     Проведення капітальних ремонтів в закладах охорони здоров'я, що засновані на комунальній власності територіальної громади міста Києва та установах, підприємствах, що підпорядковані Департаменту охорони здоров'я міста Києва </t>
  </si>
  <si>
    <t xml:space="preserve">1.3.      Закупівля обладнання для закладів  охорони здоров'я, що засновані на комунальній власності територіальної громади міста Києва та установ, підприємств, що підпорядковані Департаменту охорони здоров'я міста Києва </t>
  </si>
  <si>
    <t>показник продукту: кількість закладів охорони здоров'я, що підлягають забезпеченню обладнанням, одиниць</t>
  </si>
  <si>
    <t>міської цільової програми "Підтримка та розвиток галузі охорони здоров'я столиці" на 2024-2025 роки</t>
  </si>
  <si>
    <t>показник продукту: кількість пацієнтів дитячого віку (до 18 років), хворих на запальні хвороби товстого кишківника (хвороба Крона та виразковий коліт), які  забезпечені лікувальним харчуванням, осіб, в т.ч.:</t>
  </si>
  <si>
    <t>показник продукту: кількість пацієнтів, хворих на запальні хвороби товстого кишківника (хвороба Крона та виразковий коліт), які  забезпечені лікарськими засобами та медичними виробами для специфічного лікування, осіб, в т.ч.:</t>
  </si>
  <si>
    <t>показник продукту: кількість  пацієнтів хворих на  первинний імунодефіцит,  які забезпечені   лікарськими засобами, осіб, в т.ч.:</t>
  </si>
  <si>
    <t>показник продукту: кількість  пацієнтів хворих на розсіяний склероз,  які забезпечені   лікарськими засобами, осіб, в т.ч.:</t>
  </si>
  <si>
    <t>показник продукту: кількість  пацієнтів хворих на спінально - м'язову атрофію (за комісійним висновком), які забезпечені лікарськими засобами, осіб, в т.ч.:</t>
  </si>
  <si>
    <t>показник продукту: кількість  пацієнтів хворих на спінально - м'язову атрофію  (за комісійним висновком), які забезпечені лікувальним харчуванням, осіб, в т.ч.:</t>
  </si>
  <si>
    <t>показник продукту: кількість пацієнтів хворих на фенілкетонурію, які  забезпечені лікувальним харчуванням, осіб, в т.ч.:</t>
  </si>
  <si>
    <t>показник продукту: кількість хворих  з тирозинемією, які забезпечені лікарськими засобами, осіб, в т.ч.:</t>
  </si>
  <si>
    <t>показник продукту: кількість  пацієнтів дитячого віку (до 18 років), хворих на гіпофізарний нанізм та нанізм різного походження ,  які забезпечені   препаратами гормону росту, осіб, в т.ч.:</t>
  </si>
  <si>
    <t>показник продукту: кількість пацієнтів хворих  бульозним епідермолізом, які  забезпечені медичними виробами, осіб, в т.ч.:</t>
  </si>
  <si>
    <t>показник продукту: кількість пацієнтів хворих  бульозним епідермолізом, які  забезпечені лікувальним харчуванням, осіб, в т.ч.:</t>
  </si>
  <si>
    <t>показник продукту: кількість  пацієнтів дитячого віку (до 18 років) з передчасним статевим розвитком,  які забезпечені   аналогами гонадотропін -рилізинг гормону осіб, в т.ч.:</t>
  </si>
  <si>
    <t>показник продукту: кількість  пацієнтів хворих на муковісцидоз, які забезпечені лікарськими засобами, осіб, в т.ч.:</t>
  </si>
  <si>
    <t>показник продукту: кількість  хворих на муковізцидос,  що отримали  лікувальне харчування, осіб, в т.ч.:</t>
  </si>
  <si>
    <t>показник продукту:кількість наданих  інформаційно-аналітичних послуг (аналітичних довідок, методичних рекомендацій, письмових роз’яснень, послуги з обробки медико-статистичних звітних форм, довідників та іншої інформації), послуг</t>
  </si>
  <si>
    <t>Департамент охорони здоров'я, Апарат ВО КМР (КМДА), Комунальна організація "Київмедспецтранс"</t>
  </si>
  <si>
    <t>показник продукту : кількість машино/годин</t>
  </si>
  <si>
    <t>Департамент охорони здоров'я, дитячий заклади охорони здоров'я, установи, підтриємства, що засновані на комунальній власності територіальної громади міста Києва</t>
  </si>
  <si>
    <t>2.30. Забезпечення лікарськими засобами хворих на ідіопатичну тромбоцитопенічну пурпуру</t>
  </si>
  <si>
    <t>2.31. Забезпечення лікарськими засобами проведення замісної терапії хворим на коагулопатію</t>
  </si>
  <si>
    <t>2.32. Забезпечення  лікарськими засобами пацієнтів з демієлінізуючими захворюваннями нервової системи</t>
  </si>
  <si>
    <t>2.33.  Забезпечення лікарськими засобами хворих з ВІЛ - інфекцією в термінальній стадії з ускладненим перебігом</t>
  </si>
  <si>
    <t xml:space="preserve">2.34.  Забезпечення етіотропним противірусним лікуванням хворих на вірусний гепатит В і С </t>
  </si>
  <si>
    <t>2.35. Забезпечення хіміопрепаратами та супроводжуючою терапією хворих з онкогематологічною патологією</t>
  </si>
  <si>
    <t>2.36. Забезпечення  лікарськими засобами  лікування онкологічних хворих</t>
  </si>
  <si>
    <t xml:space="preserve">3.6. Підтримка КО "Київмедспецтранс" в частині забезпечення комунальних закладів охорони здоровя послугами спеціалізованого атотранспорту для надання медичної допомоги 
</t>
  </si>
  <si>
    <t xml:space="preserve">2. Підтримка закладів охорони здоров'я та  окремих заходів у галузі охорони здоров'я </t>
  </si>
  <si>
    <t xml:space="preserve">3. Забезпечення  реалізації заходів  понад гарантований обсяг державою та підтримка діяльності організацій, установ, підприємств </t>
  </si>
  <si>
    <t xml:space="preserve">3.2. Забезпечення централізованими послугами спеціалізованого автотранспорту для надання екстренної медичної допомоги населенню
</t>
  </si>
  <si>
    <t xml:space="preserve">3.3. Забезпечення дітей до 2-х років пільговим харчуванням в рамках виконання постанови КМ України від 8 лютого 1994 р. № 66 </t>
  </si>
  <si>
    <t xml:space="preserve">2.54.  Забезпечення закладів охорони здоров'я при амбулаторному лікуванні відповідно до постанови КМУ від 17.08.1998 №1303 "Про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 лікарськими засобами, що не ввійшли до програми "Доступні ліки"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</si>
</sst>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₽_-;\-* #,##0.00\ _₽_-;_-* &quot;-&quot;??\ _₽_-;_-@_-"/>
    <numFmt numFmtId="165" formatCode="_-* #,##0.000\ _₽_-;\-* #,##0.000\ _₽_-;_-* &quot;-&quot;??\ _₽_-;_-@_-"/>
    <numFmt numFmtId="166" formatCode="#,##0.000"/>
    <numFmt numFmtId="167" formatCode="_-* #,##0_-;\-* #,##0_-;_-* &quot;-&quot;??_-;_-@_-"/>
    <numFmt numFmtId="168" formatCode="_-* #,##0.000_-;\-* #,##0.000_-;_-* &quot;-&quot;??_-;_-@_-"/>
    <numFmt numFmtId="169" formatCode="0.000"/>
  </numFmts>
  <fonts count="13" x14ac:knownFonts="1">
    <font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</cellStyleXfs>
  <cellXfs count="225">
    <xf numFmtId="0" fontId="0" fillId="0" borderId="0" xfId="0"/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center" wrapText="1"/>
    </xf>
    <xf numFmtId="168" fontId="4" fillId="3" borderId="0" xfId="1" applyNumberFormat="1" applyFont="1" applyFill="1" applyBorder="1" applyAlignment="1">
      <alignment vertical="center" wrapText="1"/>
    </xf>
    <xf numFmtId="4" fontId="6" fillId="2" borderId="0" xfId="0" applyNumberFormat="1" applyFont="1" applyFill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68" fontId="4" fillId="3" borderId="8" xfId="1" applyNumberFormat="1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8" fontId="4" fillId="3" borderId="1" xfId="1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166" fontId="4" fillId="3" borderId="1" xfId="3" applyNumberFormat="1" applyFont="1" applyFill="1" applyBorder="1" applyAlignment="1">
      <alignment horizontal="center" vertical="center" wrapText="1"/>
    </xf>
    <xf numFmtId="166" fontId="4" fillId="3" borderId="11" xfId="3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68" fontId="4" fillId="3" borderId="2" xfId="1" applyNumberFormat="1" applyFont="1" applyFill="1" applyBorder="1" applyAlignment="1">
      <alignment vertical="center" wrapText="1"/>
    </xf>
    <xf numFmtId="0" fontId="6" fillId="3" borderId="1" xfId="3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166" fontId="9" fillId="3" borderId="11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68" fontId="4" fillId="3" borderId="3" xfId="1" applyNumberFormat="1" applyFont="1" applyFill="1" applyBorder="1" applyAlignment="1">
      <alignment vertical="center" wrapText="1"/>
    </xf>
    <xf numFmtId="0" fontId="6" fillId="3" borderId="17" xfId="3" applyFont="1" applyFill="1" applyBorder="1" applyAlignment="1">
      <alignment vertical="center" wrapText="1"/>
    </xf>
    <xf numFmtId="9" fontId="9" fillId="3" borderId="2" xfId="0" applyNumberFormat="1" applyFont="1" applyFill="1" applyBorder="1" applyAlignment="1">
      <alignment horizontal="center" vertical="center" wrapText="1"/>
    </xf>
    <xf numFmtId="9" fontId="9" fillId="3" borderId="18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9" fillId="3" borderId="11" xfId="0" applyNumberFormat="1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168" fontId="4" fillId="3" borderId="19" xfId="1" applyNumberFormat="1" applyFont="1" applyFill="1" applyBorder="1" applyAlignment="1">
      <alignment vertical="center" wrapText="1"/>
    </xf>
    <xf numFmtId="0" fontId="6" fillId="3" borderId="14" xfId="3" applyFont="1" applyFill="1" applyBorder="1" applyAlignment="1">
      <alignment vertical="center" wrapText="1"/>
    </xf>
    <xf numFmtId="9" fontId="9" fillId="3" borderId="12" xfId="0" applyNumberFormat="1" applyFont="1" applyFill="1" applyBorder="1" applyAlignment="1">
      <alignment horizontal="center" vertical="center" wrapText="1"/>
    </xf>
    <xf numFmtId="9" fontId="9" fillId="3" borderId="13" xfId="0" applyNumberFormat="1" applyFont="1" applyFill="1" applyBorder="1" applyAlignment="1">
      <alignment horizontal="center" vertical="center" wrapText="1"/>
    </xf>
    <xf numFmtId="3" fontId="4" fillId="3" borderId="1" xfId="3" applyNumberFormat="1" applyFont="1" applyFill="1" applyBorder="1" applyAlignment="1">
      <alignment horizontal="center" vertical="center" wrapText="1"/>
    </xf>
    <xf numFmtId="3" fontId="4" fillId="3" borderId="11" xfId="3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168" fontId="4" fillId="3" borderId="12" xfId="1" applyNumberFormat="1" applyFont="1" applyFill="1" applyBorder="1" applyAlignment="1">
      <alignment vertical="center" wrapText="1"/>
    </xf>
    <xf numFmtId="0" fontId="6" fillId="3" borderId="12" xfId="3" applyFont="1" applyFill="1" applyBorder="1" applyAlignment="1">
      <alignment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4" fillId="3" borderId="1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left" vertical="center" wrapText="1"/>
    </xf>
    <xf numFmtId="9" fontId="4" fillId="3" borderId="12" xfId="2" applyFont="1" applyFill="1" applyBorder="1" applyAlignment="1">
      <alignment horizontal="center" vertical="center" wrapText="1"/>
    </xf>
    <xf numFmtId="9" fontId="4" fillId="3" borderId="13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68" fontId="5" fillId="3" borderId="1" xfId="0" applyNumberFormat="1" applyFont="1" applyFill="1" applyBorder="1" applyAlignment="1">
      <alignment vertical="center" wrapText="1"/>
    </xf>
    <xf numFmtId="4" fontId="6" fillId="3" borderId="2" xfId="0" applyNumberFormat="1" applyFont="1" applyFill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18" xfId="0" applyNumberFormat="1" applyFont="1" applyFill="1" applyBorder="1" applyAlignment="1">
      <alignment horizontal="center" vertical="center" wrapText="1"/>
    </xf>
    <xf numFmtId="168" fontId="4" fillId="3" borderId="1" xfId="1" applyNumberFormat="1" applyFont="1" applyFill="1" applyBorder="1" applyAlignment="1">
      <alignment horizontal="center" vertical="center" wrapText="1"/>
    </xf>
    <xf numFmtId="168" fontId="4" fillId="3" borderId="11" xfId="1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11" xfId="0" applyNumberFormat="1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center" vertical="center" wrapText="1"/>
    </xf>
    <xf numFmtId="167" fontId="4" fillId="3" borderId="11" xfId="1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vertical="center" wrapText="1"/>
    </xf>
    <xf numFmtId="169" fontId="4" fillId="3" borderId="1" xfId="0" applyNumberFormat="1" applyFont="1" applyFill="1" applyBorder="1" applyAlignment="1">
      <alignment horizontal="center" vertical="center" wrapText="1"/>
    </xf>
    <xf numFmtId="169" fontId="4" fillId="3" borderId="11" xfId="0" applyNumberFormat="1" applyFont="1" applyFill="1" applyBorder="1" applyAlignment="1">
      <alignment horizontal="center" vertical="center" wrapText="1"/>
    </xf>
    <xf numFmtId="168" fontId="4" fillId="3" borderId="32" xfId="1" applyNumberFormat="1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left" vertical="center" wrapText="1"/>
    </xf>
    <xf numFmtId="168" fontId="4" fillId="3" borderId="6" xfId="1" applyNumberFormat="1" applyFont="1" applyFill="1" applyBorder="1" applyAlignment="1">
      <alignment vertical="center" wrapText="1"/>
    </xf>
    <xf numFmtId="4" fontId="6" fillId="3" borderId="10" xfId="0" applyNumberFormat="1" applyFont="1" applyFill="1" applyBorder="1" applyAlignment="1">
      <alignment horizontal="left" vertical="center" wrapText="1"/>
    </xf>
    <xf numFmtId="168" fontId="4" fillId="3" borderId="16" xfId="1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168" fontId="4" fillId="3" borderId="16" xfId="0" applyNumberFormat="1" applyFont="1" applyFill="1" applyBorder="1" applyAlignment="1">
      <alignment vertical="center" wrapText="1"/>
    </xf>
    <xf numFmtId="168" fontId="4" fillId="3" borderId="31" xfId="1" applyNumberFormat="1" applyFont="1" applyFill="1" applyBorder="1" applyAlignment="1">
      <alignment vertical="center" wrapText="1"/>
    </xf>
    <xf numFmtId="4" fontId="6" fillId="3" borderId="15" xfId="0" applyNumberFormat="1" applyFont="1" applyFill="1" applyBorder="1" applyAlignment="1">
      <alignment horizontal="left" vertical="center" wrapText="1"/>
    </xf>
    <xf numFmtId="9" fontId="4" fillId="3" borderId="2" xfId="2" applyFont="1" applyFill="1" applyBorder="1" applyAlignment="1">
      <alignment horizontal="center" vertical="center" wrapText="1"/>
    </xf>
    <xf numFmtId="9" fontId="4" fillId="3" borderId="18" xfId="2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168" fontId="4" fillId="3" borderId="11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4" fontId="6" fillId="3" borderId="17" xfId="0" applyNumberFormat="1" applyFont="1" applyFill="1" applyBorder="1" applyAlignment="1">
      <alignment horizontal="left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18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168" fontId="10" fillId="3" borderId="24" xfId="1" applyNumberFormat="1" applyFont="1" applyFill="1" applyBorder="1" applyAlignment="1">
      <alignment vertical="center" wrapText="1"/>
    </xf>
    <xf numFmtId="4" fontId="6" fillId="2" borderId="20" xfId="0" applyNumberFormat="1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168" fontId="10" fillId="3" borderId="39" xfId="1" applyNumberFormat="1" applyFont="1" applyFill="1" applyBorder="1" applyAlignment="1">
      <alignment vertical="center" wrapText="1"/>
    </xf>
    <xf numFmtId="4" fontId="6" fillId="2" borderId="0" xfId="0" applyNumberFormat="1" applyFont="1" applyFill="1" applyAlignment="1">
      <alignment horizontal="left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4" fontId="6" fillId="2" borderId="21" xfId="0" applyNumberFormat="1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68" fontId="10" fillId="3" borderId="0" xfId="1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8" fontId="4" fillId="3" borderId="0" xfId="1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168" fontId="4" fillId="3" borderId="0" xfId="1" applyNumberFormat="1" applyFont="1" applyFill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168" fontId="4" fillId="0" borderId="8" xfId="1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8" fontId="4" fillId="0" borderId="1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left" vertical="center" wrapText="1"/>
    </xf>
    <xf numFmtId="168" fontId="4" fillId="0" borderId="1" xfId="1" applyNumberFormat="1" applyFont="1" applyFill="1" applyBorder="1" applyAlignment="1">
      <alignment horizontal="center" vertical="center" wrapText="1"/>
    </xf>
    <xf numFmtId="168" fontId="4" fillId="0" borderId="1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8" fontId="4" fillId="0" borderId="12" xfId="1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horizontal="left" vertical="center" wrapText="1"/>
    </xf>
    <xf numFmtId="9" fontId="4" fillId="0" borderId="12" xfId="2" applyFont="1" applyFill="1" applyBorder="1" applyAlignment="1">
      <alignment horizontal="center" vertical="center" wrapText="1"/>
    </xf>
    <xf numFmtId="9" fontId="4" fillId="0" borderId="13" xfId="2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169" fontId="4" fillId="0" borderId="1" xfId="2" applyNumberFormat="1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 wrapText="1"/>
    </xf>
    <xf numFmtId="168" fontId="4" fillId="3" borderId="40" xfId="1" applyNumberFormat="1" applyFont="1" applyFill="1" applyBorder="1" applyAlignment="1">
      <alignment vertical="center" wrapText="1"/>
    </xf>
    <xf numFmtId="0" fontId="5" fillId="3" borderId="40" xfId="0" applyFont="1" applyFill="1" applyBorder="1" applyAlignment="1">
      <alignment horizontal="left" vertical="center" wrapText="1"/>
    </xf>
    <xf numFmtId="169" fontId="4" fillId="0" borderId="11" xfId="2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 wrapText="1"/>
    </xf>
    <xf numFmtId="4" fontId="6" fillId="0" borderId="4" xfId="0" applyNumberFormat="1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4" fillId="0" borderId="1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left" vertical="center" wrapText="1"/>
    </xf>
    <xf numFmtId="168" fontId="10" fillId="3" borderId="25" xfId="1" applyNumberFormat="1" applyFont="1" applyFill="1" applyBorder="1" applyAlignment="1">
      <alignment vertical="center" wrapText="1"/>
    </xf>
    <xf numFmtId="0" fontId="5" fillId="3" borderId="35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1" fillId="3" borderId="28" xfId="0" applyFont="1" applyFill="1" applyBorder="1" applyAlignment="1">
      <alignment horizontal="left" vertical="top" wrapText="1"/>
    </xf>
    <xf numFmtId="0" fontId="1" fillId="3" borderId="29" xfId="0" applyFont="1" applyFill="1" applyBorder="1" applyAlignment="1">
      <alignment horizontal="left" vertical="top" wrapText="1"/>
    </xf>
    <xf numFmtId="0" fontId="1" fillId="3" borderId="26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top" wrapText="1"/>
    </xf>
    <xf numFmtId="0" fontId="10" fillId="3" borderId="20" xfId="0" applyFont="1" applyFill="1" applyBorder="1" applyAlignment="1">
      <alignment horizontal="left" vertical="top" wrapText="1"/>
    </xf>
    <xf numFmtId="0" fontId="10" fillId="3" borderId="34" xfId="0" applyFont="1" applyFill="1" applyBorder="1" applyAlignment="1">
      <alignment horizontal="left" vertical="top" wrapText="1"/>
    </xf>
    <xf numFmtId="0" fontId="5" fillId="3" borderId="24" xfId="0" applyFont="1" applyFill="1" applyBorder="1" applyAlignment="1">
      <alignment horizontal="center" vertical="top" wrapText="1"/>
    </xf>
    <xf numFmtId="0" fontId="5" fillId="3" borderId="39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top" wrapText="1"/>
    </xf>
    <xf numFmtId="0" fontId="5" fillId="3" borderId="29" xfId="0" applyFont="1" applyFill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top" wrapText="1"/>
    </xf>
    <xf numFmtId="4" fontId="10" fillId="2" borderId="36" xfId="0" applyNumberFormat="1" applyFont="1" applyFill="1" applyBorder="1" applyAlignment="1">
      <alignment horizontal="center" vertical="center" wrapText="1"/>
    </xf>
    <xf numFmtId="4" fontId="10" fillId="2" borderId="37" xfId="0" applyNumberFormat="1" applyFont="1" applyFill="1" applyBorder="1" applyAlignment="1">
      <alignment horizontal="center" vertical="center" wrapText="1"/>
    </xf>
    <xf numFmtId="4" fontId="10" fillId="2" borderId="38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0" fillId="3" borderId="24" xfId="0" applyFont="1" applyFill="1" applyBorder="1" applyAlignment="1">
      <alignment horizontal="center" vertical="top" wrapText="1"/>
    </xf>
    <xf numFmtId="0" fontId="10" fillId="3" borderId="25" xfId="0" applyFont="1" applyFill="1" applyBorder="1" applyAlignment="1">
      <alignment horizontal="center" vertical="top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left" vertical="top" wrapText="1"/>
    </xf>
    <xf numFmtId="0" fontId="1" fillId="3" borderId="39" xfId="0" applyFont="1" applyFill="1" applyBorder="1" applyAlignment="1">
      <alignment horizontal="left" vertical="top" wrapText="1"/>
    </xf>
    <xf numFmtId="0" fontId="1" fillId="3" borderId="25" xfId="0" applyFont="1" applyFill="1" applyBorder="1" applyAlignment="1">
      <alignment horizontal="left" vertical="top" wrapText="1"/>
    </xf>
    <xf numFmtId="0" fontId="11" fillId="3" borderId="36" xfId="0" applyFont="1" applyFill="1" applyBorder="1" applyAlignment="1">
      <alignment horizontal="left" vertical="top" wrapText="1"/>
    </xf>
    <xf numFmtId="0" fontId="11" fillId="3" borderId="37" xfId="0" applyFont="1" applyFill="1" applyBorder="1" applyAlignment="1">
      <alignment horizontal="left" vertical="top" wrapText="1"/>
    </xf>
    <xf numFmtId="0" fontId="11" fillId="3" borderId="38" xfId="0" applyFont="1" applyFill="1" applyBorder="1" applyAlignment="1">
      <alignment horizontal="left" vertical="top" wrapText="1"/>
    </xf>
    <xf numFmtId="0" fontId="1" fillId="0" borderId="2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9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2" fillId="3" borderId="36" xfId="0" applyFont="1" applyFill="1" applyBorder="1" applyAlignment="1">
      <alignment horizontal="left" vertical="top" wrapText="1"/>
    </xf>
    <xf numFmtId="0" fontId="12" fillId="3" borderId="37" xfId="0" applyFont="1" applyFill="1" applyBorder="1" applyAlignment="1">
      <alignment horizontal="left" vertical="top" wrapText="1"/>
    </xf>
    <xf numFmtId="0" fontId="12" fillId="3" borderId="38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3" xr:uid="{8B5540D9-FA08-4F5A-8333-5DDE09A835AF}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7"/>
  <sheetViews>
    <sheetView tabSelected="1" view="pageBreakPreview" topLeftCell="A364" zoomScale="70" zoomScaleNormal="70" zoomScaleSheetLayoutView="70" workbookViewId="0">
      <selection activeCell="D371" sqref="D371:D375"/>
    </sheetView>
  </sheetViews>
  <sheetFormatPr defaultColWidth="14.42578125" defaultRowHeight="18.75" x14ac:dyDescent="0.25"/>
  <cols>
    <col min="1" max="1" width="25.140625" style="3" customWidth="1"/>
    <col min="2" max="2" width="17.5703125" style="3" customWidth="1"/>
    <col min="3" max="3" width="43.42578125" style="8" customWidth="1"/>
    <col min="4" max="4" width="16.7109375" style="7" customWidth="1"/>
    <col min="5" max="5" width="36.140625" style="7" customWidth="1"/>
    <col min="6" max="6" width="18.5703125" style="7" customWidth="1"/>
    <col min="7" max="7" width="14.85546875" style="12" customWidth="1"/>
    <col min="8" max="8" width="21.42578125" style="118" customWidth="1"/>
    <col min="9" max="9" width="44.42578125" style="117" customWidth="1"/>
    <col min="10" max="10" width="19" style="12" customWidth="1"/>
    <col min="11" max="11" width="20.28515625" style="12" customWidth="1"/>
    <col min="12" max="16384" width="14.42578125" style="3"/>
  </cols>
  <sheetData>
    <row r="1" spans="1:11" s="2" customFormat="1" ht="24" customHeight="1" x14ac:dyDescent="0.25">
      <c r="A1" s="220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s="2" customFormat="1" ht="24" customHeight="1" x14ac:dyDescent="0.25">
      <c r="A2" s="220" t="s">
        <v>172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19.5" thickBot="1" x14ac:dyDescent="0.3">
      <c r="E3" s="9"/>
      <c r="F3" s="9"/>
      <c r="H3" s="13"/>
      <c r="I3" s="14"/>
    </row>
    <row r="4" spans="1:11" s="4" customFormat="1" ht="26.25" customHeight="1" thickBot="1" x14ac:dyDescent="0.3">
      <c r="A4" s="197" t="s">
        <v>1</v>
      </c>
      <c r="B4" s="197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203" t="s">
        <v>7</v>
      </c>
      <c r="H4" s="204"/>
      <c r="I4" s="194" t="s">
        <v>8</v>
      </c>
      <c r="J4" s="195"/>
      <c r="K4" s="196"/>
    </row>
    <row r="5" spans="1:11" s="4" customFormat="1" ht="35.25" customHeight="1" thickBot="1" x14ac:dyDescent="0.3">
      <c r="A5" s="198"/>
      <c r="B5" s="198"/>
      <c r="C5" s="200"/>
      <c r="D5" s="200"/>
      <c r="E5" s="200"/>
      <c r="F5" s="200"/>
      <c r="G5" s="205"/>
      <c r="H5" s="206"/>
      <c r="I5" s="15" t="s">
        <v>9</v>
      </c>
      <c r="J5" s="16" t="s">
        <v>10</v>
      </c>
      <c r="K5" s="17" t="s">
        <v>11</v>
      </c>
    </row>
    <row r="6" spans="1:11" s="6" customFormat="1" ht="21.75" customHeight="1" thickBot="1" x14ac:dyDescent="0.3">
      <c r="A6" s="5">
        <v>1</v>
      </c>
      <c r="B6" s="6">
        <v>2</v>
      </c>
      <c r="C6" s="10">
        <v>3</v>
      </c>
      <c r="D6" s="11">
        <v>4</v>
      </c>
      <c r="E6" s="10">
        <v>5</v>
      </c>
      <c r="F6" s="11">
        <v>6</v>
      </c>
      <c r="G6" s="201">
        <v>7</v>
      </c>
      <c r="H6" s="202"/>
      <c r="I6" s="145">
        <v>8</v>
      </c>
      <c r="J6" s="18">
        <v>9</v>
      </c>
      <c r="K6" s="18">
        <v>10</v>
      </c>
    </row>
    <row r="7" spans="1:11" ht="26.25" customHeight="1" thickBot="1" x14ac:dyDescent="0.3">
      <c r="A7" s="197" t="s">
        <v>45</v>
      </c>
      <c r="B7" s="197" t="s">
        <v>15</v>
      </c>
      <c r="C7" s="210" t="s">
        <v>44</v>
      </c>
      <c r="D7" s="211"/>
      <c r="E7" s="211"/>
      <c r="F7" s="211"/>
      <c r="G7" s="211"/>
      <c r="H7" s="211"/>
      <c r="I7" s="211"/>
      <c r="J7" s="211"/>
      <c r="K7" s="212"/>
    </row>
    <row r="8" spans="1:11" ht="30.75" customHeight="1" x14ac:dyDescent="0.25">
      <c r="A8" s="218"/>
      <c r="B8" s="218"/>
      <c r="C8" s="207" t="s">
        <v>168</v>
      </c>
      <c r="D8" s="188" t="s">
        <v>12</v>
      </c>
      <c r="E8" s="191" t="s">
        <v>35</v>
      </c>
      <c r="F8" s="164" t="s">
        <v>13</v>
      </c>
      <c r="G8" s="19" t="s">
        <v>14</v>
      </c>
      <c r="H8" s="20">
        <f>H9+H10</f>
        <v>2812080.3940000003</v>
      </c>
      <c r="I8" s="21"/>
      <c r="J8" s="22"/>
      <c r="K8" s="23"/>
    </row>
    <row r="9" spans="1:11" ht="30.75" customHeight="1" x14ac:dyDescent="0.25">
      <c r="A9" s="218"/>
      <c r="B9" s="218"/>
      <c r="C9" s="208"/>
      <c r="D9" s="189"/>
      <c r="E9" s="192"/>
      <c r="F9" s="165"/>
      <c r="G9" s="24">
        <v>2024</v>
      </c>
      <c r="H9" s="25">
        <f>J9</f>
        <v>1697716.9350000001</v>
      </c>
      <c r="I9" s="26" t="s">
        <v>46</v>
      </c>
      <c r="J9" s="27">
        <f>1697716.935</f>
        <v>1697716.9350000001</v>
      </c>
      <c r="K9" s="28">
        <f>1114363.459</f>
        <v>1114363.459</v>
      </c>
    </row>
    <row r="10" spans="1:11" ht="30.75" customHeight="1" x14ac:dyDescent="0.25">
      <c r="A10" s="218"/>
      <c r="B10" s="218"/>
      <c r="C10" s="208"/>
      <c r="D10" s="189"/>
      <c r="E10" s="192"/>
      <c r="F10" s="165"/>
      <c r="G10" s="29">
        <v>2025</v>
      </c>
      <c r="H10" s="30">
        <f>K9</f>
        <v>1114363.459</v>
      </c>
      <c r="I10" s="31" t="s">
        <v>49</v>
      </c>
      <c r="J10" s="32">
        <v>27</v>
      </c>
      <c r="K10" s="33">
        <v>10</v>
      </c>
    </row>
    <row r="11" spans="1:11" ht="30.75" customHeight="1" x14ac:dyDescent="0.25">
      <c r="A11" s="218"/>
      <c r="B11" s="218"/>
      <c r="C11" s="208"/>
      <c r="D11" s="189"/>
      <c r="E11" s="192"/>
      <c r="F11" s="165"/>
      <c r="G11" s="29"/>
      <c r="H11" s="30"/>
      <c r="I11" s="34" t="s">
        <v>137</v>
      </c>
      <c r="J11" s="35">
        <f>J9/J10</f>
        <v>62878.404999999999</v>
      </c>
      <c r="K11" s="36">
        <f>K9/K10</f>
        <v>111436.3459</v>
      </c>
    </row>
    <row r="12" spans="1:11" ht="30.75" customHeight="1" thickBot="1" x14ac:dyDescent="0.3">
      <c r="A12" s="218"/>
      <c r="B12" s="218"/>
      <c r="C12" s="209"/>
      <c r="D12" s="190"/>
      <c r="E12" s="193"/>
      <c r="F12" s="166"/>
      <c r="G12" s="37"/>
      <c r="H12" s="38"/>
      <c r="I12" s="39" t="s">
        <v>47</v>
      </c>
      <c r="J12" s="40">
        <v>0.9</v>
      </c>
      <c r="K12" s="41">
        <v>0.9</v>
      </c>
    </row>
    <row r="13" spans="1:11" ht="25.5" customHeight="1" x14ac:dyDescent="0.25">
      <c r="A13" s="218"/>
      <c r="B13" s="218"/>
      <c r="C13" s="207" t="s">
        <v>169</v>
      </c>
      <c r="D13" s="188" t="s">
        <v>12</v>
      </c>
      <c r="E13" s="191" t="s">
        <v>36</v>
      </c>
      <c r="F13" s="164" t="s">
        <v>13</v>
      </c>
      <c r="G13" s="19" t="s">
        <v>14</v>
      </c>
      <c r="H13" s="20">
        <f>H14+H15</f>
        <v>4346714.0290000001</v>
      </c>
      <c r="I13" s="21"/>
      <c r="J13" s="22"/>
      <c r="K13" s="23"/>
    </row>
    <row r="14" spans="1:11" ht="19.5" x14ac:dyDescent="0.25">
      <c r="A14" s="218"/>
      <c r="B14" s="218"/>
      <c r="C14" s="208"/>
      <c r="D14" s="189"/>
      <c r="E14" s="192"/>
      <c r="F14" s="165"/>
      <c r="G14" s="24">
        <v>2024</v>
      </c>
      <c r="H14" s="25">
        <f>J14</f>
        <v>3379963.5350000001</v>
      </c>
      <c r="I14" s="31" t="s">
        <v>46</v>
      </c>
      <c r="J14" s="35">
        <f>3379963.535</f>
        <v>3379963.5350000001</v>
      </c>
      <c r="K14" s="36">
        <f>966750.494</f>
        <v>966750.49399999995</v>
      </c>
    </row>
    <row r="15" spans="1:11" ht="25.5" x14ac:dyDescent="0.25">
      <c r="A15" s="218"/>
      <c r="B15" s="218"/>
      <c r="C15" s="208"/>
      <c r="D15" s="189"/>
      <c r="E15" s="192"/>
      <c r="F15" s="165"/>
      <c r="G15" s="29">
        <v>2025</v>
      </c>
      <c r="H15" s="30">
        <f>K14</f>
        <v>966750.49399999995</v>
      </c>
      <c r="I15" s="31" t="s">
        <v>50</v>
      </c>
      <c r="J15" s="42">
        <v>330</v>
      </c>
      <c r="K15" s="43">
        <v>57</v>
      </c>
    </row>
    <row r="16" spans="1:11" ht="25.5" x14ac:dyDescent="0.25">
      <c r="A16" s="218"/>
      <c r="B16" s="218"/>
      <c r="C16" s="208"/>
      <c r="D16" s="189"/>
      <c r="E16" s="192"/>
      <c r="F16" s="165"/>
      <c r="G16" s="29"/>
      <c r="H16" s="30"/>
      <c r="I16" s="34" t="s">
        <v>137</v>
      </c>
      <c r="J16" s="35">
        <f>J14/J15</f>
        <v>10242.313742424243</v>
      </c>
      <c r="K16" s="36">
        <f t="shared" ref="K16" si="0">K14/K15</f>
        <v>16960.534982456138</v>
      </c>
    </row>
    <row r="17" spans="1:11" ht="20.25" thickBot="1" x14ac:dyDescent="0.3">
      <c r="A17" s="218"/>
      <c r="B17" s="218"/>
      <c r="C17" s="209"/>
      <c r="D17" s="190"/>
      <c r="E17" s="193"/>
      <c r="F17" s="166"/>
      <c r="G17" s="44"/>
      <c r="H17" s="45"/>
      <c r="I17" s="46" t="s">
        <v>47</v>
      </c>
      <c r="J17" s="47">
        <v>0.9</v>
      </c>
      <c r="K17" s="48">
        <v>0.9</v>
      </c>
    </row>
    <row r="18" spans="1:11" ht="19.5" customHeight="1" x14ac:dyDescent="0.25">
      <c r="A18" s="218"/>
      <c r="B18" s="218"/>
      <c r="C18" s="207" t="s">
        <v>170</v>
      </c>
      <c r="D18" s="188" t="s">
        <v>12</v>
      </c>
      <c r="E18" s="191" t="s">
        <v>48</v>
      </c>
      <c r="F18" s="164" t="s">
        <v>13</v>
      </c>
      <c r="G18" s="19" t="s">
        <v>14</v>
      </c>
      <c r="H18" s="20">
        <f>H19+H20</f>
        <v>4139210.86</v>
      </c>
      <c r="I18" s="21"/>
      <c r="J18" s="22"/>
      <c r="K18" s="23"/>
    </row>
    <row r="19" spans="1:11" ht="19.5" x14ac:dyDescent="0.25">
      <c r="A19" s="218"/>
      <c r="B19" s="218"/>
      <c r="C19" s="208"/>
      <c r="D19" s="189"/>
      <c r="E19" s="192"/>
      <c r="F19" s="165"/>
      <c r="G19" s="24">
        <v>2024</v>
      </c>
      <c r="H19" s="25">
        <f>J19</f>
        <v>3176065.51</v>
      </c>
      <c r="I19" s="31" t="s">
        <v>46</v>
      </c>
      <c r="J19" s="35">
        <f>3176065.51</f>
        <v>3176065.51</v>
      </c>
      <c r="K19" s="36">
        <f>963145.35</f>
        <v>963145.35</v>
      </c>
    </row>
    <row r="20" spans="1:11" ht="38.25" x14ac:dyDescent="0.25">
      <c r="A20" s="218"/>
      <c r="B20" s="218"/>
      <c r="C20" s="208"/>
      <c r="D20" s="189"/>
      <c r="E20" s="192"/>
      <c r="F20" s="165"/>
      <c r="G20" s="24">
        <v>2025</v>
      </c>
      <c r="H20" s="25">
        <f>K19</f>
        <v>963145.35</v>
      </c>
      <c r="I20" s="31" t="s">
        <v>171</v>
      </c>
      <c r="J20" s="49">
        <v>90</v>
      </c>
      <c r="K20" s="50">
        <v>54</v>
      </c>
    </row>
    <row r="21" spans="1:11" ht="25.5" x14ac:dyDescent="0.25">
      <c r="A21" s="218"/>
      <c r="B21" s="218"/>
      <c r="C21" s="208"/>
      <c r="D21" s="189"/>
      <c r="E21" s="192"/>
      <c r="F21" s="165"/>
      <c r="G21" s="24"/>
      <c r="H21" s="25"/>
      <c r="I21" s="31" t="s">
        <v>37</v>
      </c>
      <c r="J21" s="35">
        <f>J19/J20</f>
        <v>35289.616777777774</v>
      </c>
      <c r="K21" s="36">
        <f>K19/K20</f>
        <v>17836.024999999998</v>
      </c>
    </row>
    <row r="22" spans="1:11" ht="20.25" thickBot="1" x14ac:dyDescent="0.3">
      <c r="A22" s="218"/>
      <c r="B22" s="218"/>
      <c r="C22" s="209"/>
      <c r="D22" s="190"/>
      <c r="E22" s="193"/>
      <c r="F22" s="166"/>
      <c r="G22" s="51"/>
      <c r="H22" s="52"/>
      <c r="I22" s="53" t="s">
        <v>47</v>
      </c>
      <c r="J22" s="47">
        <v>0.9</v>
      </c>
      <c r="K22" s="48">
        <v>0.9</v>
      </c>
    </row>
    <row r="23" spans="1:11" ht="26.25" customHeight="1" thickBot="1" x14ac:dyDescent="0.3">
      <c r="A23" s="218"/>
      <c r="B23" s="218"/>
      <c r="C23" s="222" t="s">
        <v>199</v>
      </c>
      <c r="D23" s="223"/>
      <c r="E23" s="223"/>
      <c r="F23" s="223"/>
      <c r="G23" s="223"/>
      <c r="H23" s="223"/>
      <c r="I23" s="223"/>
      <c r="J23" s="223"/>
      <c r="K23" s="224"/>
    </row>
    <row r="24" spans="1:11" ht="19.5" customHeight="1" x14ac:dyDescent="0.25">
      <c r="A24" s="218"/>
      <c r="B24" s="218"/>
      <c r="C24" s="167" t="s">
        <v>109</v>
      </c>
      <c r="D24" s="164" t="s">
        <v>12</v>
      </c>
      <c r="E24" s="164" t="s">
        <v>52</v>
      </c>
      <c r="F24" s="164" t="s">
        <v>13</v>
      </c>
      <c r="G24" s="19" t="s">
        <v>14</v>
      </c>
      <c r="H24" s="20">
        <f>H25+H26</f>
        <v>2156.573833117</v>
      </c>
      <c r="I24" s="21"/>
      <c r="J24" s="22"/>
      <c r="K24" s="23"/>
    </row>
    <row r="25" spans="1:11" ht="19.5" x14ac:dyDescent="0.25">
      <c r="A25" s="218"/>
      <c r="B25" s="218"/>
      <c r="C25" s="168"/>
      <c r="D25" s="165"/>
      <c r="E25" s="165"/>
      <c r="F25" s="165"/>
      <c r="G25" s="24">
        <v>2024</v>
      </c>
      <c r="H25" s="25">
        <f>J25</f>
        <v>1003.205003</v>
      </c>
      <c r="I25" s="26" t="s">
        <v>19</v>
      </c>
      <c r="J25" s="68">
        <f>880777*1.139/1000</f>
        <v>1003.205003</v>
      </c>
      <c r="K25" s="69">
        <f>921397*1.139*1.099/1000</f>
        <v>1153.368830117</v>
      </c>
    </row>
    <row r="26" spans="1:11" ht="56.25" customHeight="1" x14ac:dyDescent="0.25">
      <c r="A26" s="218"/>
      <c r="B26" s="218"/>
      <c r="C26" s="168"/>
      <c r="D26" s="165"/>
      <c r="E26" s="165"/>
      <c r="F26" s="165"/>
      <c r="G26" s="24">
        <v>2025</v>
      </c>
      <c r="H26" s="25">
        <f>K25</f>
        <v>1153.368830117</v>
      </c>
      <c r="I26" s="26" t="s">
        <v>33</v>
      </c>
      <c r="J26" s="56">
        <v>1301</v>
      </c>
      <c r="K26" s="57">
        <v>1361</v>
      </c>
    </row>
    <row r="27" spans="1:11" ht="25.5" x14ac:dyDescent="0.25">
      <c r="A27" s="218"/>
      <c r="B27" s="218"/>
      <c r="C27" s="168"/>
      <c r="D27" s="165"/>
      <c r="E27" s="165"/>
      <c r="F27" s="165"/>
      <c r="G27" s="24"/>
      <c r="H27" s="25"/>
      <c r="I27" s="26" t="s">
        <v>55</v>
      </c>
      <c r="J27" s="70">
        <f>J25/J26</f>
        <v>0.77110299999999998</v>
      </c>
      <c r="K27" s="71">
        <f>K25/K26</f>
        <v>0.84744219700000001</v>
      </c>
    </row>
    <row r="28" spans="1:11" ht="20.25" thickBot="1" x14ac:dyDescent="0.3">
      <c r="A28" s="218"/>
      <c r="B28" s="218"/>
      <c r="C28" s="169"/>
      <c r="D28" s="166"/>
      <c r="E28" s="166"/>
      <c r="F28" s="166"/>
      <c r="G28" s="51"/>
      <c r="H28" s="52"/>
      <c r="I28" s="60" t="s">
        <v>51</v>
      </c>
      <c r="J28" s="61">
        <v>1</v>
      </c>
      <c r="K28" s="62">
        <v>1</v>
      </c>
    </row>
    <row r="29" spans="1:11" ht="19.5" customHeight="1" x14ac:dyDescent="0.25">
      <c r="A29" s="218"/>
      <c r="B29" s="218"/>
      <c r="C29" s="167" t="s">
        <v>110</v>
      </c>
      <c r="D29" s="164" t="s">
        <v>12</v>
      </c>
      <c r="E29" s="164" t="s">
        <v>52</v>
      </c>
      <c r="F29" s="164" t="s">
        <v>13</v>
      </c>
      <c r="G29" s="19" t="s">
        <v>14</v>
      </c>
      <c r="H29" s="20">
        <f>H30+H31</f>
        <v>61817.751418749998</v>
      </c>
      <c r="I29" s="21"/>
      <c r="J29" s="22"/>
      <c r="K29" s="23"/>
    </row>
    <row r="30" spans="1:11" ht="19.5" x14ac:dyDescent="0.25">
      <c r="A30" s="218"/>
      <c r="B30" s="218"/>
      <c r="C30" s="168"/>
      <c r="D30" s="165"/>
      <c r="E30" s="165"/>
      <c r="F30" s="165"/>
      <c r="G30" s="24">
        <v>2024</v>
      </c>
      <c r="H30" s="25">
        <f>J30</f>
        <v>30068.398355000001</v>
      </c>
      <c r="I30" s="26" t="s">
        <v>19</v>
      </c>
      <c r="J30" s="68">
        <f>(517880+25881065)*1.139/1000</f>
        <v>30068.398355000001</v>
      </c>
      <c r="K30" s="69">
        <f>(647350+24716400)*1.139*1.099/1000</f>
        <v>31749.353063749997</v>
      </c>
    </row>
    <row r="31" spans="1:11" ht="25.5" x14ac:dyDescent="0.25">
      <c r="A31" s="218"/>
      <c r="B31" s="218"/>
      <c r="C31" s="168"/>
      <c r="D31" s="165"/>
      <c r="E31" s="165"/>
      <c r="F31" s="165"/>
      <c r="G31" s="24">
        <v>2025</v>
      </c>
      <c r="H31" s="25">
        <f>K30</f>
        <v>31749.353063749997</v>
      </c>
      <c r="I31" s="26" t="s">
        <v>81</v>
      </c>
      <c r="J31" s="68">
        <f>517880*1.139/1000</f>
        <v>589.86532</v>
      </c>
      <c r="K31" s="69">
        <f>647350*1.139*1.099/1000</f>
        <v>810.32748334999997</v>
      </c>
    </row>
    <row r="32" spans="1:11" ht="38.25" x14ac:dyDescent="0.25">
      <c r="A32" s="218"/>
      <c r="B32" s="218"/>
      <c r="C32" s="168"/>
      <c r="D32" s="165"/>
      <c r="E32" s="165"/>
      <c r="F32" s="165"/>
      <c r="G32" s="24"/>
      <c r="H32" s="25"/>
      <c r="I32" s="26" t="s">
        <v>89</v>
      </c>
      <c r="J32" s="68">
        <f>J30-J31</f>
        <v>29478.533035</v>
      </c>
      <c r="K32" s="69">
        <f>K30-K31</f>
        <v>30939.025580399997</v>
      </c>
    </row>
    <row r="33" spans="1:11" ht="76.5" x14ac:dyDescent="0.25">
      <c r="A33" s="218"/>
      <c r="B33" s="218"/>
      <c r="C33" s="168"/>
      <c r="D33" s="165"/>
      <c r="E33" s="165"/>
      <c r="F33" s="165"/>
      <c r="G33" s="63"/>
      <c r="H33" s="64"/>
      <c r="I33" s="26" t="s">
        <v>88</v>
      </c>
      <c r="J33" s="56">
        <v>440</v>
      </c>
      <c r="K33" s="57">
        <v>430</v>
      </c>
    </row>
    <row r="34" spans="1:11" ht="32.25" customHeight="1" x14ac:dyDescent="0.25">
      <c r="A34" s="218"/>
      <c r="B34" s="218"/>
      <c r="C34" s="168"/>
      <c r="D34" s="165"/>
      <c r="E34" s="165"/>
      <c r="F34" s="165"/>
      <c r="G34" s="24"/>
      <c r="H34" s="25"/>
      <c r="I34" s="26" t="s">
        <v>80</v>
      </c>
      <c r="J34" s="56">
        <v>8</v>
      </c>
      <c r="K34" s="57">
        <v>10</v>
      </c>
    </row>
    <row r="35" spans="1:11" ht="25.5" x14ac:dyDescent="0.25">
      <c r="A35" s="218"/>
      <c r="B35" s="218"/>
      <c r="C35" s="168"/>
      <c r="D35" s="165"/>
      <c r="E35" s="165"/>
      <c r="F35" s="165"/>
      <c r="G35" s="24"/>
      <c r="H35" s="25"/>
      <c r="I35" s="26" t="s">
        <v>90</v>
      </c>
      <c r="J35" s="56">
        <v>440</v>
      </c>
      <c r="K35" s="57">
        <v>430</v>
      </c>
    </row>
    <row r="36" spans="1:11" ht="25.5" x14ac:dyDescent="0.25">
      <c r="A36" s="218"/>
      <c r="B36" s="218"/>
      <c r="C36" s="168"/>
      <c r="D36" s="165"/>
      <c r="E36" s="165"/>
      <c r="F36" s="165"/>
      <c r="G36" s="24"/>
      <c r="H36" s="25"/>
      <c r="I36" s="26" t="s">
        <v>93</v>
      </c>
      <c r="J36" s="58">
        <f t="shared" ref="J36:K38" si="1">J30/J33</f>
        <v>68.337268988636367</v>
      </c>
      <c r="K36" s="59">
        <f t="shared" si="1"/>
        <v>73.835704799418593</v>
      </c>
    </row>
    <row r="37" spans="1:11" ht="25.5" x14ac:dyDescent="0.25">
      <c r="A37" s="218"/>
      <c r="B37" s="218"/>
      <c r="C37" s="168"/>
      <c r="D37" s="165"/>
      <c r="E37" s="165"/>
      <c r="F37" s="165"/>
      <c r="G37" s="29"/>
      <c r="H37" s="30"/>
      <c r="I37" s="65" t="s">
        <v>91</v>
      </c>
      <c r="J37" s="66">
        <f t="shared" si="1"/>
        <v>73.733165</v>
      </c>
      <c r="K37" s="67">
        <f t="shared" si="1"/>
        <v>81.032748334999994</v>
      </c>
    </row>
    <row r="38" spans="1:11" ht="38.25" x14ac:dyDescent="0.25">
      <c r="A38" s="218"/>
      <c r="B38" s="218"/>
      <c r="C38" s="168"/>
      <c r="D38" s="165"/>
      <c r="E38" s="165"/>
      <c r="F38" s="165"/>
      <c r="G38" s="29"/>
      <c r="H38" s="30"/>
      <c r="I38" s="65" t="s">
        <v>92</v>
      </c>
      <c r="J38" s="66">
        <f t="shared" si="1"/>
        <v>66.996665988636366</v>
      </c>
      <c r="K38" s="67">
        <f t="shared" si="1"/>
        <v>71.951222279999996</v>
      </c>
    </row>
    <row r="39" spans="1:11" ht="20.25" thickBot="1" x14ac:dyDescent="0.3">
      <c r="A39" s="218"/>
      <c r="B39" s="218"/>
      <c r="C39" s="169"/>
      <c r="D39" s="166"/>
      <c r="E39" s="166"/>
      <c r="F39" s="166"/>
      <c r="G39" s="51"/>
      <c r="H39" s="52"/>
      <c r="I39" s="60" t="s">
        <v>51</v>
      </c>
      <c r="J39" s="61">
        <v>1</v>
      </c>
      <c r="K39" s="62">
        <v>1</v>
      </c>
    </row>
    <row r="40" spans="1:11" ht="19.5" customHeight="1" x14ac:dyDescent="0.25">
      <c r="A40" s="218"/>
      <c r="B40" s="218"/>
      <c r="C40" s="167" t="s">
        <v>108</v>
      </c>
      <c r="D40" s="164" t="s">
        <v>12</v>
      </c>
      <c r="E40" s="164" t="s">
        <v>52</v>
      </c>
      <c r="F40" s="164" t="s">
        <v>13</v>
      </c>
      <c r="G40" s="19" t="s">
        <v>14</v>
      </c>
      <c r="H40" s="20">
        <f>H41+H42</f>
        <v>20150.551344560001</v>
      </c>
      <c r="I40" s="21"/>
      <c r="J40" s="22"/>
      <c r="K40" s="23"/>
    </row>
    <row r="41" spans="1:11" ht="19.5" x14ac:dyDescent="0.25">
      <c r="A41" s="218"/>
      <c r="B41" s="218"/>
      <c r="C41" s="168"/>
      <c r="D41" s="165"/>
      <c r="E41" s="165"/>
      <c r="F41" s="165"/>
      <c r="G41" s="24">
        <v>2024</v>
      </c>
      <c r="H41" s="25">
        <f>J41</f>
        <v>9151.3775079999996</v>
      </c>
      <c r="I41" s="26" t="s">
        <v>19</v>
      </c>
      <c r="J41" s="68">
        <f>8034572*1.139/1000</f>
        <v>9151.3775079999996</v>
      </c>
      <c r="K41" s="69">
        <f>8786960*1.139*1.099/1000</f>
        <v>10999.173836559999</v>
      </c>
    </row>
    <row r="42" spans="1:11" ht="51" x14ac:dyDescent="0.25">
      <c r="A42" s="218"/>
      <c r="B42" s="218"/>
      <c r="C42" s="168"/>
      <c r="D42" s="165"/>
      <c r="E42" s="165"/>
      <c r="F42" s="165"/>
      <c r="G42" s="24">
        <v>2025</v>
      </c>
      <c r="H42" s="25">
        <f>K41</f>
        <v>10999.173836559999</v>
      </c>
      <c r="I42" s="26" t="s">
        <v>87</v>
      </c>
      <c r="J42" s="56">
        <f>1301+19471</f>
        <v>20772</v>
      </c>
      <c r="K42" s="57">
        <f>1361+21418</f>
        <v>22779</v>
      </c>
    </row>
    <row r="43" spans="1:11" ht="25.5" x14ac:dyDescent="0.25">
      <c r="A43" s="218"/>
      <c r="B43" s="218"/>
      <c r="C43" s="168"/>
      <c r="D43" s="165"/>
      <c r="E43" s="165"/>
      <c r="F43" s="165"/>
      <c r="G43" s="24"/>
      <c r="H43" s="25"/>
      <c r="I43" s="26" t="s">
        <v>16</v>
      </c>
      <c r="J43" s="70">
        <f>J41/J42</f>
        <v>0.44056313826304638</v>
      </c>
      <c r="K43" s="71">
        <f>K41/K42</f>
        <v>0.48286464886781683</v>
      </c>
    </row>
    <row r="44" spans="1:11" ht="20.25" thickBot="1" x14ac:dyDescent="0.3">
      <c r="A44" s="218"/>
      <c r="B44" s="218"/>
      <c r="C44" s="169"/>
      <c r="D44" s="166"/>
      <c r="E44" s="166"/>
      <c r="F44" s="166"/>
      <c r="G44" s="51"/>
      <c r="H44" s="52"/>
      <c r="I44" s="60" t="s">
        <v>51</v>
      </c>
      <c r="J44" s="61">
        <v>1</v>
      </c>
      <c r="K44" s="62">
        <v>1</v>
      </c>
    </row>
    <row r="45" spans="1:11" ht="19.5" customHeight="1" x14ac:dyDescent="0.25">
      <c r="A45" s="218"/>
      <c r="B45" s="218"/>
      <c r="C45" s="167" t="s">
        <v>111</v>
      </c>
      <c r="D45" s="164" t="s">
        <v>12</v>
      </c>
      <c r="E45" s="164" t="s">
        <v>52</v>
      </c>
      <c r="F45" s="164" t="s">
        <v>13</v>
      </c>
      <c r="G45" s="19" t="s">
        <v>14</v>
      </c>
      <c r="H45" s="20">
        <f>H46+H47</f>
        <v>2733.3863336004197</v>
      </c>
      <c r="I45" s="21"/>
      <c r="J45" s="22"/>
      <c r="K45" s="23"/>
    </row>
    <row r="46" spans="1:11" ht="19.5" x14ac:dyDescent="0.25">
      <c r="A46" s="218"/>
      <c r="B46" s="218"/>
      <c r="C46" s="168"/>
      <c r="D46" s="165"/>
      <c r="E46" s="165"/>
      <c r="F46" s="165"/>
      <c r="G46" s="24">
        <v>2024</v>
      </c>
      <c r="H46" s="25">
        <f>J46</f>
        <v>1222.0936947999999</v>
      </c>
      <c r="I46" s="26" t="s">
        <v>19</v>
      </c>
      <c r="J46" s="68">
        <f>1.139*1072953.2/1000</f>
        <v>1222.0936947999999</v>
      </c>
      <c r="K46" s="69">
        <f>1207333.22*1.139*1.099/1000</f>
        <v>1511.2926388004198</v>
      </c>
    </row>
    <row r="47" spans="1:11" ht="51" x14ac:dyDescent="0.25">
      <c r="A47" s="218"/>
      <c r="B47" s="218"/>
      <c r="C47" s="168"/>
      <c r="D47" s="165"/>
      <c r="E47" s="165"/>
      <c r="F47" s="165"/>
      <c r="G47" s="24">
        <v>2025</v>
      </c>
      <c r="H47" s="25">
        <f>K46</f>
        <v>1511.2926388004198</v>
      </c>
      <c r="I47" s="26" t="s">
        <v>184</v>
      </c>
      <c r="J47" s="56">
        <v>44</v>
      </c>
      <c r="K47" s="57">
        <v>50</v>
      </c>
    </row>
    <row r="48" spans="1:11" ht="19.5" x14ac:dyDescent="0.25">
      <c r="A48" s="218"/>
      <c r="B48" s="218"/>
      <c r="C48" s="168"/>
      <c r="D48" s="165"/>
      <c r="E48" s="165"/>
      <c r="F48" s="165"/>
      <c r="G48" s="24"/>
      <c r="H48" s="25"/>
      <c r="I48" s="26" t="s">
        <v>26</v>
      </c>
      <c r="J48" s="56">
        <v>5</v>
      </c>
      <c r="K48" s="57">
        <v>8</v>
      </c>
    </row>
    <row r="49" spans="1:11" ht="19.5" x14ac:dyDescent="0.25">
      <c r="A49" s="218"/>
      <c r="B49" s="218"/>
      <c r="C49" s="168"/>
      <c r="D49" s="165"/>
      <c r="E49" s="165"/>
      <c r="F49" s="165"/>
      <c r="G49" s="24"/>
      <c r="H49" s="25"/>
      <c r="I49" s="26" t="s">
        <v>28</v>
      </c>
      <c r="J49" s="56">
        <v>39</v>
      </c>
      <c r="K49" s="57">
        <v>42</v>
      </c>
    </row>
    <row r="50" spans="1:11" ht="25.5" x14ac:dyDescent="0.25">
      <c r="A50" s="218"/>
      <c r="B50" s="218"/>
      <c r="C50" s="168"/>
      <c r="D50" s="165"/>
      <c r="E50" s="165"/>
      <c r="F50" s="165"/>
      <c r="G50" s="24"/>
      <c r="H50" s="25"/>
      <c r="I50" s="26" t="s">
        <v>94</v>
      </c>
      <c r="J50" s="70">
        <f>J46/J47</f>
        <v>27.774856699999997</v>
      </c>
      <c r="K50" s="71">
        <f>K46/K47</f>
        <v>30.225852776008395</v>
      </c>
    </row>
    <row r="51" spans="1:11" ht="20.25" thickBot="1" x14ac:dyDescent="0.3">
      <c r="A51" s="218"/>
      <c r="B51" s="218"/>
      <c r="C51" s="169"/>
      <c r="D51" s="166"/>
      <c r="E51" s="166"/>
      <c r="F51" s="166"/>
      <c r="G51" s="51"/>
      <c r="H51" s="52"/>
      <c r="I51" s="60" t="s">
        <v>51</v>
      </c>
      <c r="J51" s="61">
        <v>1</v>
      </c>
      <c r="K51" s="62">
        <v>1</v>
      </c>
    </row>
    <row r="52" spans="1:11" ht="19.5" customHeight="1" x14ac:dyDescent="0.25">
      <c r="A52" s="218"/>
      <c r="B52" s="218"/>
      <c r="C52" s="167" t="s">
        <v>112</v>
      </c>
      <c r="D52" s="164" t="s">
        <v>12</v>
      </c>
      <c r="E52" s="164" t="s">
        <v>52</v>
      </c>
      <c r="F52" s="164" t="s">
        <v>13</v>
      </c>
      <c r="G52" s="19" t="s">
        <v>14</v>
      </c>
      <c r="H52" s="20">
        <f>H53+H54</f>
        <v>85097.401767032949</v>
      </c>
      <c r="I52" s="21"/>
      <c r="J52" s="22"/>
      <c r="K52" s="23"/>
    </row>
    <row r="53" spans="1:11" ht="19.5" x14ac:dyDescent="0.25">
      <c r="A53" s="218"/>
      <c r="B53" s="218"/>
      <c r="C53" s="168"/>
      <c r="D53" s="165"/>
      <c r="E53" s="165"/>
      <c r="F53" s="165"/>
      <c r="G53" s="24">
        <v>2024</v>
      </c>
      <c r="H53" s="25">
        <f>J53</f>
        <v>38911.986615210008</v>
      </c>
      <c r="I53" s="26" t="s">
        <v>19</v>
      </c>
      <c r="J53" s="68">
        <f>34163289.39*1.139/1000</f>
        <v>38911.986615210008</v>
      </c>
      <c r="K53" s="69">
        <f>36896352.54*1.139*1.099/1000</f>
        <v>46185.415151822941</v>
      </c>
    </row>
    <row r="54" spans="1:11" ht="51" x14ac:dyDescent="0.25">
      <c r="A54" s="218"/>
      <c r="B54" s="218"/>
      <c r="C54" s="168"/>
      <c r="D54" s="165"/>
      <c r="E54" s="165"/>
      <c r="F54" s="165"/>
      <c r="G54" s="24">
        <v>2025</v>
      </c>
      <c r="H54" s="25">
        <f>K53</f>
        <v>46185.415151822941</v>
      </c>
      <c r="I54" s="26" t="s">
        <v>181</v>
      </c>
      <c r="J54" s="56">
        <v>325</v>
      </c>
      <c r="K54" s="57">
        <v>351</v>
      </c>
    </row>
    <row r="55" spans="1:11" ht="19.5" x14ac:dyDescent="0.25">
      <c r="A55" s="218"/>
      <c r="B55" s="218"/>
      <c r="C55" s="168"/>
      <c r="D55" s="165"/>
      <c r="E55" s="165"/>
      <c r="F55" s="165"/>
      <c r="G55" s="24"/>
      <c r="H55" s="25"/>
      <c r="I55" s="26" t="s">
        <v>26</v>
      </c>
      <c r="J55" s="56">
        <v>258</v>
      </c>
      <c r="K55" s="57">
        <v>280</v>
      </c>
    </row>
    <row r="56" spans="1:11" ht="19.5" x14ac:dyDescent="0.25">
      <c r="A56" s="218"/>
      <c r="B56" s="218"/>
      <c r="C56" s="168"/>
      <c r="D56" s="165"/>
      <c r="E56" s="165"/>
      <c r="F56" s="165"/>
      <c r="G56" s="24"/>
      <c r="H56" s="25"/>
      <c r="I56" s="26" t="s">
        <v>28</v>
      </c>
      <c r="J56" s="56">
        <f>J54-J55</f>
        <v>67</v>
      </c>
      <c r="K56" s="57">
        <f>K54-K55</f>
        <v>71</v>
      </c>
    </row>
    <row r="57" spans="1:11" ht="25.5" x14ac:dyDescent="0.25">
      <c r="A57" s="218"/>
      <c r="B57" s="218"/>
      <c r="C57" s="168"/>
      <c r="D57" s="165"/>
      <c r="E57" s="165"/>
      <c r="F57" s="165"/>
      <c r="G57" s="24"/>
      <c r="H57" s="25"/>
      <c r="I57" s="26" t="s">
        <v>55</v>
      </c>
      <c r="J57" s="70">
        <f>J53/J54</f>
        <v>119.72918958526157</v>
      </c>
      <c r="K57" s="71">
        <f>K53/K54</f>
        <v>131.58237934992292</v>
      </c>
    </row>
    <row r="58" spans="1:11" ht="20.25" thickBot="1" x14ac:dyDescent="0.3">
      <c r="A58" s="218"/>
      <c r="B58" s="218"/>
      <c r="C58" s="169"/>
      <c r="D58" s="166"/>
      <c r="E58" s="166"/>
      <c r="F58" s="166"/>
      <c r="G58" s="51"/>
      <c r="H58" s="52"/>
      <c r="I58" s="60" t="s">
        <v>51</v>
      </c>
      <c r="J58" s="61">
        <v>1</v>
      </c>
      <c r="K58" s="62">
        <v>1</v>
      </c>
    </row>
    <row r="59" spans="1:11" ht="19.5" customHeight="1" x14ac:dyDescent="0.25">
      <c r="A59" s="218"/>
      <c r="B59" s="218"/>
      <c r="C59" s="167" t="s">
        <v>113</v>
      </c>
      <c r="D59" s="164" t="s">
        <v>12</v>
      </c>
      <c r="E59" s="164" t="s">
        <v>52</v>
      </c>
      <c r="F59" s="164" t="s">
        <v>13</v>
      </c>
      <c r="G59" s="19" t="s">
        <v>14</v>
      </c>
      <c r="H59" s="20">
        <f>H60+H61</f>
        <v>79037.906110111158</v>
      </c>
      <c r="I59" s="21"/>
      <c r="J59" s="22"/>
      <c r="K59" s="23"/>
    </row>
    <row r="60" spans="1:11" ht="19.5" x14ac:dyDescent="0.25">
      <c r="A60" s="218"/>
      <c r="B60" s="218"/>
      <c r="C60" s="168"/>
      <c r="D60" s="165"/>
      <c r="E60" s="165"/>
      <c r="F60" s="165"/>
      <c r="G60" s="24">
        <v>2024</v>
      </c>
      <c r="H60" s="25">
        <f>J60</f>
        <v>35504.376428700001</v>
      </c>
      <c r="I60" s="26" t="s">
        <v>19</v>
      </c>
      <c r="J60" s="68">
        <f>31171533.3*1.139/1000</f>
        <v>35504.376428700001</v>
      </c>
      <c r="K60" s="69">
        <f>34777828.74*1.139*1.099/1000</f>
        <v>43533.52968141115</v>
      </c>
    </row>
    <row r="61" spans="1:11" ht="38.25" x14ac:dyDescent="0.25">
      <c r="A61" s="218"/>
      <c r="B61" s="218"/>
      <c r="C61" s="168"/>
      <c r="D61" s="165"/>
      <c r="E61" s="165"/>
      <c r="F61" s="165"/>
      <c r="G61" s="24">
        <v>2025</v>
      </c>
      <c r="H61" s="25">
        <f>K60</f>
        <v>43533.52968141115</v>
      </c>
      <c r="I61" s="26" t="s">
        <v>102</v>
      </c>
      <c r="J61" s="56">
        <v>18</v>
      </c>
      <c r="K61" s="57">
        <v>21</v>
      </c>
    </row>
    <row r="62" spans="1:11" ht="25.5" x14ac:dyDescent="0.25">
      <c r="A62" s="218"/>
      <c r="B62" s="218"/>
      <c r="C62" s="168"/>
      <c r="D62" s="165"/>
      <c r="E62" s="165"/>
      <c r="F62" s="165"/>
      <c r="G62" s="24"/>
      <c r="H62" s="25"/>
      <c r="I62" s="26" t="s">
        <v>55</v>
      </c>
      <c r="J62" s="70">
        <f>J60/J61</f>
        <v>1972.46535715</v>
      </c>
      <c r="K62" s="71">
        <f>K60/K61</f>
        <v>2073.0252229243406</v>
      </c>
    </row>
    <row r="63" spans="1:11" ht="20.25" thickBot="1" x14ac:dyDescent="0.3">
      <c r="A63" s="218"/>
      <c r="B63" s="218"/>
      <c r="C63" s="169"/>
      <c r="D63" s="166"/>
      <c r="E63" s="166"/>
      <c r="F63" s="166"/>
      <c r="G63" s="51"/>
      <c r="H63" s="52"/>
      <c r="I63" s="60" t="s">
        <v>51</v>
      </c>
      <c r="J63" s="61">
        <v>1</v>
      </c>
      <c r="K63" s="62">
        <v>1</v>
      </c>
    </row>
    <row r="64" spans="1:11" ht="19.5" customHeight="1" x14ac:dyDescent="0.25">
      <c r="A64" s="218"/>
      <c r="B64" s="218"/>
      <c r="C64" s="167" t="s">
        <v>114</v>
      </c>
      <c r="D64" s="164" t="s">
        <v>12</v>
      </c>
      <c r="E64" s="164" t="s">
        <v>52</v>
      </c>
      <c r="F64" s="164" t="s">
        <v>13</v>
      </c>
      <c r="G64" s="19" t="s">
        <v>14</v>
      </c>
      <c r="H64" s="20">
        <f>H65+H66</f>
        <v>95623.151381590214</v>
      </c>
      <c r="I64" s="21"/>
      <c r="J64" s="22"/>
      <c r="K64" s="23"/>
    </row>
    <row r="65" spans="1:11" ht="19.5" x14ac:dyDescent="0.25">
      <c r="A65" s="218"/>
      <c r="B65" s="218"/>
      <c r="C65" s="168"/>
      <c r="D65" s="165"/>
      <c r="E65" s="165"/>
      <c r="F65" s="165"/>
      <c r="G65" s="24">
        <v>2024</v>
      </c>
      <c r="H65" s="25">
        <f>J65</f>
        <v>45538.49362980001</v>
      </c>
      <c r="I65" s="26" t="s">
        <v>19</v>
      </c>
      <c r="J65" s="68">
        <f>39981118.2*1.139/1000</f>
        <v>45538.49362980001</v>
      </c>
      <c r="K65" s="69">
        <f>40011358.2*1.139*1.099/1000</f>
        <v>50084.657751790204</v>
      </c>
    </row>
    <row r="66" spans="1:11" ht="38.25" x14ac:dyDescent="0.25">
      <c r="A66" s="218"/>
      <c r="B66" s="218"/>
      <c r="C66" s="168"/>
      <c r="D66" s="165"/>
      <c r="E66" s="165"/>
      <c r="F66" s="165"/>
      <c r="G66" s="24">
        <v>2025</v>
      </c>
      <c r="H66" s="25">
        <f>K65</f>
        <v>50084.657751790204</v>
      </c>
      <c r="I66" s="26" t="s">
        <v>185</v>
      </c>
      <c r="J66" s="56">
        <v>74</v>
      </c>
      <c r="K66" s="57">
        <v>74</v>
      </c>
    </row>
    <row r="67" spans="1:11" ht="19.5" x14ac:dyDescent="0.25">
      <c r="A67" s="218"/>
      <c r="B67" s="218"/>
      <c r="C67" s="168"/>
      <c r="D67" s="165"/>
      <c r="E67" s="165"/>
      <c r="F67" s="165"/>
      <c r="G67" s="24"/>
      <c r="H67" s="25"/>
      <c r="I67" s="26" t="s">
        <v>26</v>
      </c>
      <c r="J67" s="56">
        <v>56</v>
      </c>
      <c r="K67" s="57">
        <v>56</v>
      </c>
    </row>
    <row r="68" spans="1:11" ht="19.5" x14ac:dyDescent="0.25">
      <c r="A68" s="218"/>
      <c r="B68" s="218"/>
      <c r="C68" s="168"/>
      <c r="D68" s="165"/>
      <c r="E68" s="165"/>
      <c r="F68" s="165"/>
      <c r="G68" s="24"/>
      <c r="H68" s="25"/>
      <c r="I68" s="26" t="s">
        <v>28</v>
      </c>
      <c r="J68" s="56">
        <f>J66-J67</f>
        <v>18</v>
      </c>
      <c r="K68" s="57">
        <v>18</v>
      </c>
    </row>
    <row r="69" spans="1:11" ht="25.5" x14ac:dyDescent="0.25">
      <c r="A69" s="218"/>
      <c r="B69" s="218"/>
      <c r="C69" s="168"/>
      <c r="D69" s="165"/>
      <c r="E69" s="165"/>
      <c r="F69" s="165"/>
      <c r="G69" s="24"/>
      <c r="H69" s="25"/>
      <c r="I69" s="26" t="s">
        <v>55</v>
      </c>
      <c r="J69" s="70">
        <f>J65/J66</f>
        <v>615.38504905135153</v>
      </c>
      <c r="K69" s="71">
        <f>K65/K66</f>
        <v>676.81969934851622</v>
      </c>
    </row>
    <row r="70" spans="1:11" ht="20.25" thickBot="1" x14ac:dyDescent="0.3">
      <c r="A70" s="218"/>
      <c r="B70" s="218"/>
      <c r="C70" s="169"/>
      <c r="D70" s="166"/>
      <c r="E70" s="166"/>
      <c r="F70" s="166"/>
      <c r="G70" s="51"/>
      <c r="H70" s="52"/>
      <c r="I70" s="60" t="s">
        <v>17</v>
      </c>
      <c r="J70" s="61">
        <v>1</v>
      </c>
      <c r="K70" s="62">
        <v>1</v>
      </c>
    </row>
    <row r="71" spans="1:11" ht="19.5" customHeight="1" x14ac:dyDescent="0.25">
      <c r="A71" s="218"/>
      <c r="B71" s="218"/>
      <c r="C71" s="167" t="s">
        <v>115</v>
      </c>
      <c r="D71" s="164" t="s">
        <v>12</v>
      </c>
      <c r="E71" s="164" t="s">
        <v>52</v>
      </c>
      <c r="F71" s="164" t="s">
        <v>13</v>
      </c>
      <c r="G71" s="19" t="s">
        <v>14</v>
      </c>
      <c r="H71" s="20">
        <f>H72+H73</f>
        <v>10403.492595</v>
      </c>
      <c r="I71" s="21"/>
      <c r="J71" s="22"/>
      <c r="K71" s="23"/>
    </row>
    <row r="72" spans="1:11" ht="19.5" x14ac:dyDescent="0.25">
      <c r="A72" s="218"/>
      <c r="B72" s="218"/>
      <c r="C72" s="168"/>
      <c r="D72" s="165"/>
      <c r="E72" s="165"/>
      <c r="F72" s="165"/>
      <c r="G72" s="24">
        <v>2024</v>
      </c>
      <c r="H72" s="25">
        <f>J72</f>
        <v>4937.6845949999997</v>
      </c>
      <c r="I72" s="26" t="s">
        <v>19</v>
      </c>
      <c r="J72" s="68">
        <f>4335105*1.139/1000</f>
        <v>4937.6845949999997</v>
      </c>
      <c r="K72" s="69">
        <v>5465.808</v>
      </c>
    </row>
    <row r="73" spans="1:11" ht="38.25" x14ac:dyDescent="0.25">
      <c r="A73" s="218"/>
      <c r="B73" s="218"/>
      <c r="C73" s="168"/>
      <c r="D73" s="165"/>
      <c r="E73" s="165"/>
      <c r="F73" s="165"/>
      <c r="G73" s="24">
        <v>2025</v>
      </c>
      <c r="H73" s="25">
        <f>K72</f>
        <v>5465.808</v>
      </c>
      <c r="I73" s="26" t="s">
        <v>186</v>
      </c>
      <c r="J73" s="56">
        <v>74</v>
      </c>
      <c r="K73" s="57">
        <v>74</v>
      </c>
    </row>
    <row r="74" spans="1:11" ht="19.5" x14ac:dyDescent="0.25">
      <c r="A74" s="218"/>
      <c r="B74" s="218"/>
      <c r="C74" s="168"/>
      <c r="D74" s="165"/>
      <c r="E74" s="165"/>
      <c r="F74" s="165"/>
      <c r="G74" s="24"/>
      <c r="H74" s="25"/>
      <c r="I74" s="26" t="s">
        <v>26</v>
      </c>
      <c r="J74" s="56">
        <v>56</v>
      </c>
      <c r="K74" s="57">
        <v>56</v>
      </c>
    </row>
    <row r="75" spans="1:11" ht="19.5" x14ac:dyDescent="0.25">
      <c r="A75" s="218"/>
      <c r="B75" s="218"/>
      <c r="C75" s="168"/>
      <c r="D75" s="165"/>
      <c r="E75" s="165"/>
      <c r="F75" s="165"/>
      <c r="G75" s="24"/>
      <c r="H75" s="25"/>
      <c r="I75" s="26" t="s">
        <v>28</v>
      </c>
      <c r="J75" s="56">
        <f>J73-J74</f>
        <v>18</v>
      </c>
      <c r="K75" s="57">
        <v>18</v>
      </c>
    </row>
    <row r="76" spans="1:11" ht="25.5" x14ac:dyDescent="0.25">
      <c r="A76" s="218"/>
      <c r="B76" s="218"/>
      <c r="C76" s="168"/>
      <c r="D76" s="165"/>
      <c r="E76" s="165"/>
      <c r="F76" s="165"/>
      <c r="G76" s="24"/>
      <c r="H76" s="25"/>
      <c r="I76" s="26" t="s">
        <v>94</v>
      </c>
      <c r="J76" s="70">
        <f>J72/J73</f>
        <v>66.725467499999993</v>
      </c>
      <c r="K76" s="71">
        <f>K72/K73</f>
        <v>73.862270270270272</v>
      </c>
    </row>
    <row r="77" spans="1:11" ht="20.25" thickBot="1" x14ac:dyDescent="0.3">
      <c r="A77" s="218"/>
      <c r="B77" s="218"/>
      <c r="C77" s="169"/>
      <c r="D77" s="166"/>
      <c r="E77" s="166"/>
      <c r="F77" s="166"/>
      <c r="G77" s="51"/>
      <c r="H77" s="52"/>
      <c r="I77" s="60" t="s">
        <v>51</v>
      </c>
      <c r="J77" s="61">
        <v>1</v>
      </c>
      <c r="K77" s="62">
        <v>1</v>
      </c>
    </row>
    <row r="78" spans="1:11" ht="19.5" customHeight="1" x14ac:dyDescent="0.25">
      <c r="A78" s="218"/>
      <c r="B78" s="218"/>
      <c r="C78" s="213" t="s">
        <v>116</v>
      </c>
      <c r="D78" s="170" t="s">
        <v>12</v>
      </c>
      <c r="E78" s="170" t="s">
        <v>52</v>
      </c>
      <c r="F78" s="170" t="s">
        <v>13</v>
      </c>
      <c r="G78" s="149" t="s">
        <v>14</v>
      </c>
      <c r="H78" s="120">
        <f>H79+H80</f>
        <v>107369.3982389665</v>
      </c>
      <c r="I78" s="150"/>
      <c r="J78" s="151"/>
      <c r="K78" s="152"/>
    </row>
    <row r="79" spans="1:11" ht="19.5" x14ac:dyDescent="0.25">
      <c r="A79" s="218"/>
      <c r="B79" s="218"/>
      <c r="C79" s="214"/>
      <c r="D79" s="171"/>
      <c r="E79" s="171"/>
      <c r="F79" s="171"/>
      <c r="G79" s="153">
        <v>2024</v>
      </c>
      <c r="H79" s="125">
        <f>J79</f>
        <v>50269.415287135002</v>
      </c>
      <c r="I79" s="154" t="s">
        <v>18</v>
      </c>
      <c r="J79" s="127">
        <f>44134692.965*1.139/1000</f>
        <v>50269.415287135002</v>
      </c>
      <c r="K79" s="128">
        <f>45615722.931*1.139*1.099/1000</f>
        <v>57099.982951831495</v>
      </c>
    </row>
    <row r="80" spans="1:11" ht="42.75" customHeight="1" x14ac:dyDescent="0.25">
      <c r="A80" s="218"/>
      <c r="B80" s="218"/>
      <c r="C80" s="214"/>
      <c r="D80" s="171"/>
      <c r="E80" s="171"/>
      <c r="F80" s="171"/>
      <c r="G80" s="153">
        <v>2025</v>
      </c>
      <c r="H80" s="125">
        <f>K79</f>
        <v>57099.982951831495</v>
      </c>
      <c r="I80" s="154" t="s">
        <v>179</v>
      </c>
      <c r="J80" s="157">
        <v>149</v>
      </c>
      <c r="K80" s="158">
        <v>154</v>
      </c>
    </row>
    <row r="81" spans="1:11" ht="19.5" x14ac:dyDescent="0.25">
      <c r="A81" s="218"/>
      <c r="B81" s="218"/>
      <c r="C81" s="214"/>
      <c r="D81" s="171"/>
      <c r="E81" s="171"/>
      <c r="F81" s="171"/>
      <c r="G81" s="153"/>
      <c r="H81" s="125"/>
      <c r="I81" s="154" t="s">
        <v>26</v>
      </c>
      <c r="J81" s="157">
        <v>78</v>
      </c>
      <c r="K81" s="158">
        <v>80</v>
      </c>
    </row>
    <row r="82" spans="1:11" ht="19.5" x14ac:dyDescent="0.25">
      <c r="A82" s="218"/>
      <c r="B82" s="218"/>
      <c r="C82" s="214"/>
      <c r="D82" s="171"/>
      <c r="E82" s="171"/>
      <c r="F82" s="171"/>
      <c r="G82" s="153"/>
      <c r="H82" s="125"/>
      <c r="I82" s="154" t="s">
        <v>28</v>
      </c>
      <c r="J82" s="157">
        <f>J80-J81</f>
        <v>71</v>
      </c>
      <c r="K82" s="158">
        <f>K80-K81</f>
        <v>74</v>
      </c>
    </row>
    <row r="83" spans="1:11" ht="25.5" x14ac:dyDescent="0.25">
      <c r="A83" s="218"/>
      <c r="B83" s="218"/>
      <c r="C83" s="214"/>
      <c r="D83" s="171"/>
      <c r="E83" s="171"/>
      <c r="F83" s="171"/>
      <c r="G83" s="153"/>
      <c r="H83" s="125"/>
      <c r="I83" s="154" t="s">
        <v>94</v>
      </c>
      <c r="J83" s="159">
        <f>J79/J80</f>
        <v>337.37862608815436</v>
      </c>
      <c r="K83" s="160">
        <f>K79/K80</f>
        <v>370.77911007682786</v>
      </c>
    </row>
    <row r="84" spans="1:11" ht="20.25" thickBot="1" x14ac:dyDescent="0.3">
      <c r="A84" s="218"/>
      <c r="B84" s="218"/>
      <c r="C84" s="215"/>
      <c r="D84" s="172"/>
      <c r="E84" s="172"/>
      <c r="F84" s="172"/>
      <c r="G84" s="161"/>
      <c r="H84" s="134"/>
      <c r="I84" s="162" t="s">
        <v>51</v>
      </c>
      <c r="J84" s="136">
        <v>1</v>
      </c>
      <c r="K84" s="137">
        <v>1</v>
      </c>
    </row>
    <row r="85" spans="1:11" ht="19.5" customHeight="1" x14ac:dyDescent="0.25">
      <c r="A85" s="218"/>
      <c r="B85" s="218"/>
      <c r="C85" s="167" t="s">
        <v>117</v>
      </c>
      <c r="D85" s="164" t="s">
        <v>12</v>
      </c>
      <c r="E85" s="164" t="s">
        <v>52</v>
      </c>
      <c r="F85" s="164" t="s">
        <v>13</v>
      </c>
      <c r="G85" s="19" t="s">
        <v>14</v>
      </c>
      <c r="H85" s="20">
        <f>H86+H87</f>
        <v>72658.186552118001</v>
      </c>
      <c r="I85" s="21"/>
      <c r="J85" s="22"/>
      <c r="K85" s="23"/>
    </row>
    <row r="86" spans="1:11" ht="19.5" x14ac:dyDescent="0.25">
      <c r="A86" s="218"/>
      <c r="B86" s="218"/>
      <c r="C86" s="168"/>
      <c r="D86" s="165"/>
      <c r="E86" s="165"/>
      <c r="F86" s="165"/>
      <c r="G86" s="24">
        <v>2024</v>
      </c>
      <c r="H86" s="25">
        <f>J86</f>
        <v>34615.620082000001</v>
      </c>
      <c r="I86" s="26" t="s">
        <v>19</v>
      </c>
      <c r="J86" s="68">
        <f>30391238*1.139/1000</f>
        <v>34615.620082000001</v>
      </c>
      <c r="K86" s="69">
        <f>J86*1.099</f>
        <v>38042.566470117999</v>
      </c>
    </row>
    <row r="87" spans="1:11" ht="38.25" x14ac:dyDescent="0.25">
      <c r="A87" s="218"/>
      <c r="B87" s="218"/>
      <c r="C87" s="168"/>
      <c r="D87" s="165"/>
      <c r="E87" s="165"/>
      <c r="F87" s="165"/>
      <c r="G87" s="24">
        <v>2025</v>
      </c>
      <c r="H87" s="25">
        <f>K86</f>
        <v>38042.566470117999</v>
      </c>
      <c r="I87" s="26" t="s">
        <v>148</v>
      </c>
      <c r="J87" s="56">
        <v>151</v>
      </c>
      <c r="K87" s="57">
        <v>151</v>
      </c>
    </row>
    <row r="88" spans="1:11" ht="19.5" x14ac:dyDescent="0.25">
      <c r="A88" s="218"/>
      <c r="B88" s="218"/>
      <c r="C88" s="168"/>
      <c r="D88" s="165"/>
      <c r="E88" s="165"/>
      <c r="F88" s="165"/>
      <c r="G88" s="24"/>
      <c r="H88" s="25"/>
      <c r="I88" s="26" t="s">
        <v>26</v>
      </c>
      <c r="J88" s="56">
        <v>61</v>
      </c>
      <c r="K88" s="57">
        <v>61</v>
      </c>
    </row>
    <row r="89" spans="1:11" ht="19.5" x14ac:dyDescent="0.25">
      <c r="A89" s="218"/>
      <c r="B89" s="218"/>
      <c r="C89" s="168"/>
      <c r="D89" s="165"/>
      <c r="E89" s="165"/>
      <c r="F89" s="165"/>
      <c r="G89" s="24"/>
      <c r="H89" s="25"/>
      <c r="I89" s="26" t="s">
        <v>28</v>
      </c>
      <c r="J89" s="56">
        <v>90</v>
      </c>
      <c r="K89" s="57">
        <v>90</v>
      </c>
    </row>
    <row r="90" spans="1:11" ht="25.5" x14ac:dyDescent="0.25">
      <c r="A90" s="218"/>
      <c r="B90" s="218"/>
      <c r="C90" s="168"/>
      <c r="D90" s="165"/>
      <c r="E90" s="165"/>
      <c r="F90" s="165"/>
      <c r="G90" s="24"/>
      <c r="H90" s="25"/>
      <c r="I90" s="26" t="s">
        <v>55</v>
      </c>
      <c r="J90" s="70">
        <f>J86/J87</f>
        <v>229.24251709933776</v>
      </c>
      <c r="K90" s="71">
        <f>K86/K87</f>
        <v>251.93752629217218</v>
      </c>
    </row>
    <row r="91" spans="1:11" ht="20.25" thickBot="1" x14ac:dyDescent="0.3">
      <c r="A91" s="218"/>
      <c r="B91" s="218"/>
      <c r="C91" s="169"/>
      <c r="D91" s="166"/>
      <c r="E91" s="166"/>
      <c r="F91" s="166"/>
      <c r="G91" s="51"/>
      <c r="H91" s="52"/>
      <c r="I91" s="60" t="s">
        <v>51</v>
      </c>
      <c r="J91" s="61">
        <v>1</v>
      </c>
      <c r="K91" s="62">
        <v>1</v>
      </c>
    </row>
    <row r="92" spans="1:11" ht="19.5" customHeight="1" x14ac:dyDescent="0.25">
      <c r="A92" s="218"/>
      <c r="B92" s="218"/>
      <c r="C92" s="167" t="s">
        <v>118</v>
      </c>
      <c r="D92" s="164" t="s">
        <v>12</v>
      </c>
      <c r="E92" s="164" t="s">
        <v>52</v>
      </c>
      <c r="F92" s="164" t="s">
        <v>13</v>
      </c>
      <c r="G92" s="19" t="s">
        <v>14</v>
      </c>
      <c r="H92" s="20">
        <f>H93+H94</f>
        <v>1563.8420032981203</v>
      </c>
      <c r="I92" s="21"/>
      <c r="J92" s="22"/>
      <c r="K92" s="23"/>
    </row>
    <row r="93" spans="1:11" ht="19.5" x14ac:dyDescent="0.25">
      <c r="A93" s="218"/>
      <c r="B93" s="218"/>
      <c r="C93" s="168"/>
      <c r="D93" s="165"/>
      <c r="E93" s="165"/>
      <c r="F93" s="165"/>
      <c r="G93" s="24">
        <v>2024</v>
      </c>
      <c r="H93" s="25">
        <f>J93</f>
        <v>745.04144988000007</v>
      </c>
      <c r="I93" s="26" t="s">
        <v>19</v>
      </c>
      <c r="J93" s="68">
        <f>654118.92*1.139/1000</f>
        <v>745.04144988000007</v>
      </c>
      <c r="K93" s="69">
        <f>J93*1.099</f>
        <v>818.8005534181201</v>
      </c>
    </row>
    <row r="94" spans="1:11" ht="38.25" x14ac:dyDescent="0.25">
      <c r="A94" s="218"/>
      <c r="B94" s="218"/>
      <c r="C94" s="168"/>
      <c r="D94" s="165"/>
      <c r="E94" s="165"/>
      <c r="F94" s="165"/>
      <c r="G94" s="24">
        <v>2025</v>
      </c>
      <c r="H94" s="25">
        <f>K93</f>
        <v>818.8005534181201</v>
      </c>
      <c r="I94" s="26" t="s">
        <v>143</v>
      </c>
      <c r="J94" s="56">
        <v>3</v>
      </c>
      <c r="K94" s="57">
        <v>3</v>
      </c>
    </row>
    <row r="95" spans="1:11" ht="19.5" x14ac:dyDescent="0.25">
      <c r="A95" s="218"/>
      <c r="B95" s="218"/>
      <c r="C95" s="168"/>
      <c r="D95" s="165"/>
      <c r="E95" s="165"/>
      <c r="F95" s="165"/>
      <c r="G95" s="24"/>
      <c r="H95" s="25"/>
      <c r="I95" s="26" t="s">
        <v>26</v>
      </c>
      <c r="J95" s="56">
        <v>1</v>
      </c>
      <c r="K95" s="57">
        <v>1</v>
      </c>
    </row>
    <row r="96" spans="1:11" ht="19.5" x14ac:dyDescent="0.25">
      <c r="A96" s="218"/>
      <c r="B96" s="218"/>
      <c r="C96" s="168"/>
      <c r="D96" s="165"/>
      <c r="E96" s="165"/>
      <c r="F96" s="165"/>
      <c r="G96" s="24"/>
      <c r="H96" s="25"/>
      <c r="I96" s="26" t="s">
        <v>28</v>
      </c>
      <c r="J96" s="56">
        <v>2</v>
      </c>
      <c r="K96" s="57">
        <v>2</v>
      </c>
    </row>
    <row r="97" spans="1:11" ht="25.5" x14ac:dyDescent="0.25">
      <c r="A97" s="218"/>
      <c r="B97" s="218"/>
      <c r="C97" s="168"/>
      <c r="D97" s="165"/>
      <c r="E97" s="165"/>
      <c r="F97" s="165"/>
      <c r="G97" s="24"/>
      <c r="H97" s="25"/>
      <c r="I97" s="26" t="s">
        <v>55</v>
      </c>
      <c r="J97" s="70">
        <f>J93/J94</f>
        <v>248.34714996000002</v>
      </c>
      <c r="K97" s="71">
        <f>K93/K94</f>
        <v>272.93351780604002</v>
      </c>
    </row>
    <row r="98" spans="1:11" ht="20.25" thickBot="1" x14ac:dyDescent="0.3">
      <c r="A98" s="218"/>
      <c r="B98" s="218"/>
      <c r="C98" s="169"/>
      <c r="D98" s="166"/>
      <c r="E98" s="166"/>
      <c r="F98" s="166"/>
      <c r="G98" s="51"/>
      <c r="H98" s="52"/>
      <c r="I98" s="60" t="s">
        <v>51</v>
      </c>
      <c r="J98" s="61">
        <v>1</v>
      </c>
      <c r="K98" s="62">
        <v>1</v>
      </c>
    </row>
    <row r="99" spans="1:11" ht="19.5" customHeight="1" x14ac:dyDescent="0.25">
      <c r="A99" s="218"/>
      <c r="B99" s="218"/>
      <c r="C99" s="167" t="s">
        <v>119</v>
      </c>
      <c r="D99" s="164" t="s">
        <v>12</v>
      </c>
      <c r="E99" s="164" t="s">
        <v>52</v>
      </c>
      <c r="F99" s="164" t="s">
        <v>13</v>
      </c>
      <c r="G99" s="19" t="s">
        <v>14</v>
      </c>
      <c r="H99" s="20">
        <f>H100+H101</f>
        <v>1991.2861385805099</v>
      </c>
      <c r="I99" s="21"/>
      <c r="J99" s="22"/>
      <c r="K99" s="23"/>
    </row>
    <row r="100" spans="1:11" ht="19.5" x14ac:dyDescent="0.25">
      <c r="A100" s="218"/>
      <c r="B100" s="218"/>
      <c r="C100" s="168"/>
      <c r="D100" s="165"/>
      <c r="E100" s="165"/>
      <c r="F100" s="165"/>
      <c r="G100" s="24">
        <v>2024</v>
      </c>
      <c r="H100" s="25">
        <f>J100</f>
        <v>948.68324848999998</v>
      </c>
      <c r="I100" s="26" t="s">
        <v>19</v>
      </c>
      <c r="J100" s="68">
        <f>832908.91*1.139/1000</f>
        <v>948.68324848999998</v>
      </c>
      <c r="K100" s="69">
        <f>J100*1.099</f>
        <v>1042.6028900905098</v>
      </c>
    </row>
    <row r="101" spans="1:11" ht="38.25" x14ac:dyDescent="0.25">
      <c r="A101" s="218"/>
      <c r="B101" s="218"/>
      <c r="C101" s="168"/>
      <c r="D101" s="165"/>
      <c r="E101" s="165"/>
      <c r="F101" s="165"/>
      <c r="G101" s="24">
        <v>2025</v>
      </c>
      <c r="H101" s="25">
        <f>K100</f>
        <v>1042.6028900905098</v>
      </c>
      <c r="I101" s="26" t="s">
        <v>147</v>
      </c>
      <c r="J101" s="56">
        <v>5</v>
      </c>
      <c r="K101" s="57">
        <v>5</v>
      </c>
    </row>
    <row r="102" spans="1:11" ht="19.5" x14ac:dyDescent="0.25">
      <c r="A102" s="218"/>
      <c r="B102" s="218"/>
      <c r="C102" s="168"/>
      <c r="D102" s="165"/>
      <c r="E102" s="165"/>
      <c r="F102" s="165"/>
      <c r="G102" s="24"/>
      <c r="H102" s="25"/>
      <c r="I102" s="26" t="s">
        <v>26</v>
      </c>
      <c r="J102" s="56">
        <v>1</v>
      </c>
      <c r="K102" s="57">
        <v>1</v>
      </c>
    </row>
    <row r="103" spans="1:11" ht="19.5" x14ac:dyDescent="0.25">
      <c r="A103" s="218"/>
      <c r="B103" s="218"/>
      <c r="C103" s="168"/>
      <c r="D103" s="165"/>
      <c r="E103" s="165"/>
      <c r="F103" s="165"/>
      <c r="G103" s="24"/>
      <c r="H103" s="25"/>
      <c r="I103" s="26" t="s">
        <v>28</v>
      </c>
      <c r="J103" s="56">
        <v>4</v>
      </c>
      <c r="K103" s="57">
        <v>4</v>
      </c>
    </row>
    <row r="104" spans="1:11" ht="25.5" x14ac:dyDescent="0.25">
      <c r="A104" s="218"/>
      <c r="B104" s="218"/>
      <c r="C104" s="168"/>
      <c r="D104" s="165"/>
      <c r="E104" s="165"/>
      <c r="F104" s="165"/>
      <c r="G104" s="24"/>
      <c r="H104" s="25"/>
      <c r="I104" s="26" t="s">
        <v>55</v>
      </c>
      <c r="J104" s="70">
        <f>J100/J101</f>
        <v>189.73664969800001</v>
      </c>
      <c r="K104" s="71">
        <f>K100/K101</f>
        <v>208.52057801810196</v>
      </c>
    </row>
    <row r="105" spans="1:11" ht="20.25" thickBot="1" x14ac:dyDescent="0.3">
      <c r="A105" s="218"/>
      <c r="B105" s="218"/>
      <c r="C105" s="169"/>
      <c r="D105" s="166"/>
      <c r="E105" s="166"/>
      <c r="F105" s="166"/>
      <c r="G105" s="51"/>
      <c r="H105" s="52"/>
      <c r="I105" s="60" t="s">
        <v>51</v>
      </c>
      <c r="J105" s="61">
        <v>1</v>
      </c>
      <c r="K105" s="62">
        <v>1</v>
      </c>
    </row>
    <row r="106" spans="1:11" ht="19.5" customHeight="1" x14ac:dyDescent="0.25">
      <c r="A106" s="218"/>
      <c r="B106" s="218"/>
      <c r="C106" s="167" t="s">
        <v>120</v>
      </c>
      <c r="D106" s="164" t="s">
        <v>12</v>
      </c>
      <c r="E106" s="164" t="s">
        <v>52</v>
      </c>
      <c r="F106" s="164" t="s">
        <v>13</v>
      </c>
      <c r="G106" s="19" t="s">
        <v>14</v>
      </c>
      <c r="H106" s="20">
        <f>H107+H108</f>
        <v>673.04617604604005</v>
      </c>
      <c r="I106" s="21"/>
      <c r="J106" s="22"/>
      <c r="K106" s="23"/>
    </row>
    <row r="107" spans="1:11" ht="19.5" x14ac:dyDescent="0.25">
      <c r="A107" s="218"/>
      <c r="B107" s="218"/>
      <c r="C107" s="168"/>
      <c r="D107" s="165"/>
      <c r="E107" s="165"/>
      <c r="F107" s="165"/>
      <c r="G107" s="24">
        <v>2024</v>
      </c>
      <c r="H107" s="25">
        <f>J107</f>
        <v>320.65086996000002</v>
      </c>
      <c r="I107" s="26" t="s">
        <v>19</v>
      </c>
      <c r="J107" s="68">
        <f>281519.64*1.139/1000</f>
        <v>320.65086996000002</v>
      </c>
      <c r="K107" s="69">
        <f>J107*1.099</f>
        <v>352.39530608604002</v>
      </c>
    </row>
    <row r="108" spans="1:11" ht="38.25" x14ac:dyDescent="0.25">
      <c r="A108" s="218"/>
      <c r="B108" s="218"/>
      <c r="C108" s="168"/>
      <c r="D108" s="165"/>
      <c r="E108" s="165"/>
      <c r="F108" s="165"/>
      <c r="G108" s="24">
        <v>2025</v>
      </c>
      <c r="H108" s="25">
        <f>K107</f>
        <v>352.39530608604002</v>
      </c>
      <c r="I108" s="26" t="s">
        <v>146</v>
      </c>
      <c r="J108" s="56">
        <v>6</v>
      </c>
      <c r="K108" s="57">
        <v>6</v>
      </c>
    </row>
    <row r="109" spans="1:11" ht="19.5" x14ac:dyDescent="0.25">
      <c r="A109" s="218"/>
      <c r="B109" s="218"/>
      <c r="C109" s="168"/>
      <c r="D109" s="165"/>
      <c r="E109" s="165"/>
      <c r="F109" s="165"/>
      <c r="G109" s="24"/>
      <c r="H109" s="25"/>
      <c r="I109" s="26" t="s">
        <v>26</v>
      </c>
      <c r="J109" s="56">
        <v>1</v>
      </c>
      <c r="K109" s="57">
        <v>1</v>
      </c>
    </row>
    <row r="110" spans="1:11" ht="19.5" x14ac:dyDescent="0.25">
      <c r="A110" s="218"/>
      <c r="B110" s="218"/>
      <c r="C110" s="168"/>
      <c r="D110" s="165"/>
      <c r="E110" s="165"/>
      <c r="F110" s="165"/>
      <c r="G110" s="24"/>
      <c r="H110" s="25"/>
      <c r="I110" s="26" t="s">
        <v>28</v>
      </c>
      <c r="J110" s="56">
        <v>5</v>
      </c>
      <c r="K110" s="57">
        <v>5</v>
      </c>
    </row>
    <row r="111" spans="1:11" ht="25.5" x14ac:dyDescent="0.25">
      <c r="A111" s="218"/>
      <c r="B111" s="218"/>
      <c r="C111" s="168"/>
      <c r="D111" s="165"/>
      <c r="E111" s="165"/>
      <c r="F111" s="165"/>
      <c r="G111" s="24"/>
      <c r="H111" s="25"/>
      <c r="I111" s="26" t="s">
        <v>94</v>
      </c>
      <c r="J111" s="70">
        <f>J107/J108</f>
        <v>53.441811660000006</v>
      </c>
      <c r="K111" s="71">
        <f>K107/K108</f>
        <v>58.732551014340004</v>
      </c>
    </row>
    <row r="112" spans="1:11" ht="20.25" thickBot="1" x14ac:dyDescent="0.3">
      <c r="A112" s="218"/>
      <c r="B112" s="218"/>
      <c r="C112" s="169"/>
      <c r="D112" s="166"/>
      <c r="E112" s="166"/>
      <c r="F112" s="166"/>
      <c r="G112" s="51"/>
      <c r="H112" s="52"/>
      <c r="I112" s="60" t="s">
        <v>51</v>
      </c>
      <c r="J112" s="61">
        <v>1</v>
      </c>
      <c r="K112" s="62">
        <v>1</v>
      </c>
    </row>
    <row r="113" spans="1:11" ht="19.5" customHeight="1" x14ac:dyDescent="0.25">
      <c r="A113" s="218"/>
      <c r="B113" s="218"/>
      <c r="C113" s="167" t="s">
        <v>121</v>
      </c>
      <c r="D113" s="164" t="s">
        <v>12</v>
      </c>
      <c r="E113" s="164" t="s">
        <v>52</v>
      </c>
      <c r="F113" s="164" t="s">
        <v>13</v>
      </c>
      <c r="G113" s="19" t="s">
        <v>14</v>
      </c>
      <c r="H113" s="20">
        <f>H114+H115</f>
        <v>38094.797463044204</v>
      </c>
      <c r="I113" s="21"/>
      <c r="J113" s="22"/>
      <c r="K113" s="23"/>
    </row>
    <row r="114" spans="1:11" ht="19.5" x14ac:dyDescent="0.25">
      <c r="A114" s="218"/>
      <c r="B114" s="218"/>
      <c r="C114" s="168"/>
      <c r="D114" s="165"/>
      <c r="E114" s="165"/>
      <c r="F114" s="165"/>
      <c r="G114" s="24">
        <v>2024</v>
      </c>
      <c r="H114" s="25">
        <f>J114</f>
        <v>18149.022135800002</v>
      </c>
      <c r="I114" s="26" t="s">
        <v>19</v>
      </c>
      <c r="J114" s="68">
        <f>15934172.2*1.139/1000</f>
        <v>18149.022135800002</v>
      </c>
      <c r="K114" s="69">
        <f>J114*1.099</f>
        <v>19945.775327244202</v>
      </c>
    </row>
    <row r="115" spans="1:11" ht="38.25" x14ac:dyDescent="0.25">
      <c r="A115" s="218"/>
      <c r="B115" s="218"/>
      <c r="C115" s="168"/>
      <c r="D115" s="165"/>
      <c r="E115" s="165"/>
      <c r="F115" s="165"/>
      <c r="G115" s="24">
        <v>2025</v>
      </c>
      <c r="H115" s="25">
        <f>K114</f>
        <v>19945.775327244202</v>
      </c>
      <c r="I115" s="26" t="s">
        <v>145</v>
      </c>
      <c r="J115" s="56">
        <v>74</v>
      </c>
      <c r="K115" s="57">
        <v>74</v>
      </c>
    </row>
    <row r="116" spans="1:11" ht="19.5" x14ac:dyDescent="0.25">
      <c r="A116" s="218"/>
      <c r="B116" s="218"/>
      <c r="C116" s="168"/>
      <c r="D116" s="165"/>
      <c r="E116" s="165"/>
      <c r="F116" s="165"/>
      <c r="G116" s="24"/>
      <c r="H116" s="25"/>
      <c r="I116" s="26" t="s">
        <v>26</v>
      </c>
      <c r="J116" s="56">
        <f>J115-J117</f>
        <v>58</v>
      </c>
      <c r="K116" s="56">
        <f>K115-K117</f>
        <v>58</v>
      </c>
    </row>
    <row r="117" spans="1:11" ht="19.5" x14ac:dyDescent="0.25">
      <c r="A117" s="218"/>
      <c r="B117" s="218"/>
      <c r="C117" s="168"/>
      <c r="D117" s="165"/>
      <c r="E117" s="165"/>
      <c r="F117" s="165"/>
      <c r="G117" s="24"/>
      <c r="H117" s="25"/>
      <c r="I117" s="26" t="s">
        <v>28</v>
      </c>
      <c r="J117" s="56">
        <v>16</v>
      </c>
      <c r="K117" s="57">
        <v>16</v>
      </c>
    </row>
    <row r="118" spans="1:11" ht="25.5" x14ac:dyDescent="0.25">
      <c r="A118" s="218"/>
      <c r="B118" s="218"/>
      <c r="C118" s="168"/>
      <c r="D118" s="165"/>
      <c r="E118" s="165"/>
      <c r="F118" s="165"/>
      <c r="G118" s="24"/>
      <c r="H118" s="25"/>
      <c r="I118" s="26" t="s">
        <v>55</v>
      </c>
      <c r="J118" s="70">
        <f>J114/J115</f>
        <v>245.25705588918922</v>
      </c>
      <c r="K118" s="71">
        <f>K114/K115</f>
        <v>269.53750442221894</v>
      </c>
    </row>
    <row r="119" spans="1:11" ht="20.25" thickBot="1" x14ac:dyDescent="0.3">
      <c r="A119" s="218"/>
      <c r="B119" s="218"/>
      <c r="C119" s="169"/>
      <c r="D119" s="166"/>
      <c r="E119" s="166"/>
      <c r="F119" s="166"/>
      <c r="G119" s="51"/>
      <c r="H119" s="52"/>
      <c r="I119" s="60" t="s">
        <v>51</v>
      </c>
      <c r="J119" s="61">
        <v>1</v>
      </c>
      <c r="K119" s="62">
        <v>1</v>
      </c>
    </row>
    <row r="120" spans="1:11" ht="19.5" customHeight="1" x14ac:dyDescent="0.25">
      <c r="A120" s="218"/>
      <c r="B120" s="218"/>
      <c r="C120" s="167" t="s">
        <v>149</v>
      </c>
      <c r="D120" s="164" t="s">
        <v>12</v>
      </c>
      <c r="E120" s="164" t="s">
        <v>52</v>
      </c>
      <c r="F120" s="164" t="s">
        <v>13</v>
      </c>
      <c r="G120" s="19" t="s">
        <v>14</v>
      </c>
      <c r="H120" s="20">
        <f>H121+H122</f>
        <v>724655.31977220811</v>
      </c>
      <c r="I120" s="21"/>
      <c r="J120" s="22"/>
      <c r="K120" s="23"/>
    </row>
    <row r="121" spans="1:11" ht="22.5" customHeight="1" x14ac:dyDescent="0.25">
      <c r="A121" s="218"/>
      <c r="B121" s="218"/>
      <c r="C121" s="168"/>
      <c r="D121" s="165"/>
      <c r="E121" s="165"/>
      <c r="F121" s="165"/>
      <c r="G121" s="24">
        <v>2024</v>
      </c>
      <c r="H121" s="25">
        <f>J121</f>
        <v>323549.74309708003</v>
      </c>
      <c r="I121" s="26" t="s">
        <v>19</v>
      </c>
      <c r="J121" s="68">
        <f>284064743.72*1.139/1000</f>
        <v>323549.74309708003</v>
      </c>
      <c r="K121" s="69">
        <f>320433035.28*1.139*1.099/1000</f>
        <v>401105.57667512802</v>
      </c>
    </row>
    <row r="122" spans="1:11" ht="54" customHeight="1" x14ac:dyDescent="0.25">
      <c r="A122" s="218"/>
      <c r="B122" s="218"/>
      <c r="C122" s="168"/>
      <c r="D122" s="165"/>
      <c r="E122" s="165"/>
      <c r="F122" s="165"/>
      <c r="G122" s="24">
        <v>2025</v>
      </c>
      <c r="H122" s="25">
        <f>K121</f>
        <v>401105.57667512802</v>
      </c>
      <c r="I122" s="26" t="s">
        <v>177</v>
      </c>
      <c r="J122" s="56">
        <v>32</v>
      </c>
      <c r="K122" s="57">
        <v>35</v>
      </c>
    </row>
    <row r="123" spans="1:11" ht="19.5" x14ac:dyDescent="0.25">
      <c r="A123" s="218"/>
      <c r="B123" s="218"/>
      <c r="C123" s="168"/>
      <c r="D123" s="165"/>
      <c r="E123" s="165"/>
      <c r="F123" s="165"/>
      <c r="G123" s="24"/>
      <c r="H123" s="25"/>
      <c r="I123" s="26" t="s">
        <v>26</v>
      </c>
      <c r="J123" s="56">
        <v>16</v>
      </c>
      <c r="K123" s="57">
        <v>17</v>
      </c>
    </row>
    <row r="124" spans="1:11" ht="19.5" x14ac:dyDescent="0.25">
      <c r="A124" s="218"/>
      <c r="B124" s="218"/>
      <c r="C124" s="168"/>
      <c r="D124" s="165"/>
      <c r="E124" s="165"/>
      <c r="F124" s="165"/>
      <c r="G124" s="24"/>
      <c r="H124" s="25"/>
      <c r="I124" s="26" t="s">
        <v>28</v>
      </c>
      <c r="J124" s="56">
        <v>16</v>
      </c>
      <c r="K124" s="57">
        <v>18</v>
      </c>
    </row>
    <row r="125" spans="1:11" ht="25.5" x14ac:dyDescent="0.25">
      <c r="A125" s="218"/>
      <c r="B125" s="218"/>
      <c r="C125" s="168"/>
      <c r="D125" s="165"/>
      <c r="E125" s="165"/>
      <c r="F125" s="165"/>
      <c r="G125" s="24"/>
      <c r="H125" s="25"/>
      <c r="I125" s="26" t="s">
        <v>94</v>
      </c>
      <c r="J125" s="70">
        <f>J121/J122</f>
        <v>10110.929471783751</v>
      </c>
      <c r="K125" s="71">
        <f>K121/K122</f>
        <v>11460.159333575086</v>
      </c>
    </row>
    <row r="126" spans="1:11" ht="20.25" thickBot="1" x14ac:dyDescent="0.3">
      <c r="A126" s="218"/>
      <c r="B126" s="218"/>
      <c r="C126" s="169"/>
      <c r="D126" s="166"/>
      <c r="E126" s="166"/>
      <c r="F126" s="166"/>
      <c r="G126" s="51"/>
      <c r="H126" s="52"/>
      <c r="I126" s="60" t="s">
        <v>51</v>
      </c>
      <c r="J126" s="61">
        <v>1</v>
      </c>
      <c r="K126" s="62">
        <v>1</v>
      </c>
    </row>
    <row r="127" spans="1:11" ht="19.5" customHeight="1" x14ac:dyDescent="0.25">
      <c r="A127" s="218"/>
      <c r="B127" s="218"/>
      <c r="C127" s="167" t="s">
        <v>150</v>
      </c>
      <c r="D127" s="164" t="s">
        <v>12</v>
      </c>
      <c r="E127" s="164" t="s">
        <v>52</v>
      </c>
      <c r="F127" s="164" t="s">
        <v>13</v>
      </c>
      <c r="G127" s="19" t="s">
        <v>14</v>
      </c>
      <c r="H127" s="20">
        <f>H128+H129</f>
        <v>10104.828085114859</v>
      </c>
      <c r="I127" s="21"/>
      <c r="J127" s="22"/>
      <c r="K127" s="23"/>
    </row>
    <row r="128" spans="1:11" ht="19.5" x14ac:dyDescent="0.25">
      <c r="A128" s="218"/>
      <c r="B128" s="218"/>
      <c r="C128" s="168"/>
      <c r="D128" s="165"/>
      <c r="E128" s="165"/>
      <c r="F128" s="165"/>
      <c r="G128" s="24">
        <v>2024</v>
      </c>
      <c r="H128" s="25">
        <f>J128</f>
        <v>4788.0017026600008</v>
      </c>
      <c r="I128" s="26" t="s">
        <v>19</v>
      </c>
      <c r="J128" s="68">
        <f>4203688.94*1.139/1000</f>
        <v>4788.0017026600008</v>
      </c>
      <c r="K128" s="69">
        <f>4247477.26*1.139*1.099/1000</f>
        <v>5316.8263824548594</v>
      </c>
    </row>
    <row r="129" spans="1:11" ht="51" x14ac:dyDescent="0.25">
      <c r="A129" s="218"/>
      <c r="B129" s="218"/>
      <c r="C129" s="168"/>
      <c r="D129" s="165"/>
      <c r="E129" s="165"/>
      <c r="F129" s="165"/>
      <c r="G129" s="24">
        <v>2025</v>
      </c>
      <c r="H129" s="25">
        <f>K128</f>
        <v>5316.8263824548594</v>
      </c>
      <c r="I129" s="26" t="s">
        <v>178</v>
      </c>
      <c r="J129" s="56">
        <v>41</v>
      </c>
      <c r="K129" s="57">
        <v>42</v>
      </c>
    </row>
    <row r="130" spans="1:11" ht="19.5" x14ac:dyDescent="0.25">
      <c r="A130" s="218"/>
      <c r="B130" s="218"/>
      <c r="C130" s="168"/>
      <c r="D130" s="165"/>
      <c r="E130" s="165"/>
      <c r="F130" s="165"/>
      <c r="G130" s="24"/>
      <c r="H130" s="25"/>
      <c r="I130" s="26" t="s">
        <v>26</v>
      </c>
      <c r="J130" s="56">
        <v>20</v>
      </c>
      <c r="K130" s="57">
        <v>21</v>
      </c>
    </row>
    <row r="131" spans="1:11" ht="19.5" x14ac:dyDescent="0.25">
      <c r="A131" s="218"/>
      <c r="B131" s="218"/>
      <c r="C131" s="168"/>
      <c r="D131" s="165"/>
      <c r="E131" s="165"/>
      <c r="F131" s="165"/>
      <c r="G131" s="24"/>
      <c r="H131" s="25"/>
      <c r="I131" s="26" t="s">
        <v>28</v>
      </c>
      <c r="J131" s="56">
        <v>21</v>
      </c>
      <c r="K131" s="57">
        <v>21</v>
      </c>
    </row>
    <row r="132" spans="1:11" ht="25.5" x14ac:dyDescent="0.25">
      <c r="A132" s="218"/>
      <c r="B132" s="218"/>
      <c r="C132" s="168"/>
      <c r="D132" s="165"/>
      <c r="E132" s="165"/>
      <c r="F132" s="165"/>
      <c r="G132" s="24"/>
      <c r="H132" s="25"/>
      <c r="I132" s="26" t="s">
        <v>55</v>
      </c>
      <c r="J132" s="70">
        <f>J128/J129</f>
        <v>116.78052933317075</v>
      </c>
      <c r="K132" s="71">
        <f>K128/K129</f>
        <v>126.59110434416331</v>
      </c>
    </row>
    <row r="133" spans="1:11" ht="20.25" thickBot="1" x14ac:dyDescent="0.3">
      <c r="A133" s="218"/>
      <c r="B133" s="218"/>
      <c r="C133" s="169"/>
      <c r="D133" s="166"/>
      <c r="E133" s="166"/>
      <c r="F133" s="166"/>
      <c r="G133" s="51"/>
      <c r="H133" s="52"/>
      <c r="I133" s="60" t="s">
        <v>51</v>
      </c>
      <c r="J133" s="61">
        <v>1</v>
      </c>
      <c r="K133" s="62">
        <v>1</v>
      </c>
    </row>
    <row r="134" spans="1:11" ht="19.5" customHeight="1" x14ac:dyDescent="0.25">
      <c r="A134" s="218"/>
      <c r="B134" s="218"/>
      <c r="C134" s="167" t="s">
        <v>122</v>
      </c>
      <c r="D134" s="164" t="s">
        <v>12</v>
      </c>
      <c r="E134" s="164" t="s">
        <v>52</v>
      </c>
      <c r="F134" s="164" t="s">
        <v>13</v>
      </c>
      <c r="G134" s="19" t="s">
        <v>14</v>
      </c>
      <c r="H134" s="20">
        <f>H135+H136</f>
        <v>108255.09266464639</v>
      </c>
      <c r="I134" s="21"/>
      <c r="J134" s="22"/>
      <c r="K134" s="23"/>
    </row>
    <row r="135" spans="1:11" ht="19.5" x14ac:dyDescent="0.25">
      <c r="A135" s="218"/>
      <c r="B135" s="218"/>
      <c r="C135" s="168"/>
      <c r="D135" s="165"/>
      <c r="E135" s="165"/>
      <c r="F135" s="165"/>
      <c r="G135" s="24">
        <v>2024</v>
      </c>
      <c r="H135" s="25">
        <f>J135</f>
        <v>51109.442155620003</v>
      </c>
      <c r="I135" s="26" t="s">
        <v>19</v>
      </c>
      <c r="J135" s="68">
        <f>(34732205.58+10140000)*1.139/1000</f>
        <v>51109.442155620003</v>
      </c>
      <c r="K135" s="69">
        <f>(41752205.58+3900000)*1.139*109.9%/1000</f>
        <v>57145.650509026382</v>
      </c>
    </row>
    <row r="136" spans="1:11" ht="25.5" x14ac:dyDescent="0.25">
      <c r="A136" s="218"/>
      <c r="B136" s="218"/>
      <c r="C136" s="168"/>
      <c r="D136" s="165"/>
      <c r="E136" s="165"/>
      <c r="F136" s="165"/>
      <c r="G136" s="24">
        <v>2025</v>
      </c>
      <c r="H136" s="25">
        <f>K135</f>
        <v>57145.650509026382</v>
      </c>
      <c r="I136" s="26" t="s">
        <v>56</v>
      </c>
      <c r="J136" s="56">
        <v>6</v>
      </c>
      <c r="K136" s="57">
        <v>6</v>
      </c>
    </row>
    <row r="137" spans="1:11" ht="19.5" x14ac:dyDescent="0.25">
      <c r="A137" s="218"/>
      <c r="B137" s="218"/>
      <c r="C137" s="168"/>
      <c r="D137" s="165"/>
      <c r="E137" s="165"/>
      <c r="F137" s="165"/>
      <c r="G137" s="24"/>
      <c r="H137" s="25"/>
      <c r="I137" s="26" t="s">
        <v>26</v>
      </c>
      <c r="J137" s="56">
        <v>3</v>
      </c>
      <c r="K137" s="57">
        <v>3</v>
      </c>
    </row>
    <row r="138" spans="1:11" ht="19.5" x14ac:dyDescent="0.25">
      <c r="A138" s="218"/>
      <c r="B138" s="218"/>
      <c r="C138" s="168"/>
      <c r="D138" s="165"/>
      <c r="E138" s="165"/>
      <c r="F138" s="165"/>
      <c r="G138" s="24"/>
      <c r="H138" s="25"/>
      <c r="I138" s="26" t="s">
        <v>28</v>
      </c>
      <c r="J138" s="56">
        <v>3</v>
      </c>
      <c r="K138" s="57">
        <v>3</v>
      </c>
    </row>
    <row r="139" spans="1:11" ht="25.5" x14ac:dyDescent="0.25">
      <c r="A139" s="218"/>
      <c r="B139" s="218"/>
      <c r="C139" s="168"/>
      <c r="D139" s="165"/>
      <c r="E139" s="165"/>
      <c r="F139" s="165"/>
      <c r="G139" s="24"/>
      <c r="H139" s="25"/>
      <c r="I139" s="26" t="s">
        <v>55</v>
      </c>
      <c r="J139" s="70">
        <f>J135/J136</f>
        <v>8518.2403592700011</v>
      </c>
      <c r="K139" s="71">
        <f>K135/K136</f>
        <v>9524.2750848377309</v>
      </c>
    </row>
    <row r="140" spans="1:11" ht="20.25" thickBot="1" x14ac:dyDescent="0.3">
      <c r="A140" s="218"/>
      <c r="B140" s="218"/>
      <c r="C140" s="169"/>
      <c r="D140" s="166"/>
      <c r="E140" s="166"/>
      <c r="F140" s="166"/>
      <c r="G140" s="51"/>
      <c r="H140" s="52"/>
      <c r="I140" s="60" t="s">
        <v>51</v>
      </c>
      <c r="J140" s="61">
        <v>1</v>
      </c>
      <c r="K140" s="62">
        <v>1</v>
      </c>
    </row>
    <row r="141" spans="1:11" ht="20.25" hidden="1" customHeight="1" x14ac:dyDescent="0.25">
      <c r="A141" s="218"/>
      <c r="B141" s="218"/>
      <c r="C141" s="167" t="s">
        <v>38</v>
      </c>
      <c r="D141" s="164" t="s">
        <v>12</v>
      </c>
      <c r="E141" s="164" t="s">
        <v>52</v>
      </c>
      <c r="F141" s="164" t="s">
        <v>13</v>
      </c>
      <c r="G141" s="19" t="s">
        <v>14</v>
      </c>
      <c r="H141" s="20">
        <f>H142+H143</f>
        <v>91823.764764646388</v>
      </c>
      <c r="I141" s="21"/>
      <c r="J141" s="22"/>
      <c r="K141" s="23"/>
    </row>
    <row r="142" spans="1:11" ht="20.25" hidden="1" customHeight="1" x14ac:dyDescent="0.25">
      <c r="A142" s="218"/>
      <c r="B142" s="218"/>
      <c r="C142" s="168"/>
      <c r="D142" s="165"/>
      <c r="E142" s="165"/>
      <c r="F142" s="165"/>
      <c r="G142" s="24">
        <v>2024</v>
      </c>
      <c r="H142" s="25">
        <f>J142</f>
        <v>39559.982155620004</v>
      </c>
      <c r="I142" s="26" t="s">
        <v>19</v>
      </c>
      <c r="J142" s="54">
        <f>34732205.58*1.139/1000</f>
        <v>39559.982155620004</v>
      </c>
      <c r="K142" s="55">
        <f>41752205.58*1.139*1.099/1000</f>
        <v>52263.782609026377</v>
      </c>
    </row>
    <row r="143" spans="1:11" ht="26.25" hidden="1" customHeight="1" x14ac:dyDescent="0.25">
      <c r="A143" s="218"/>
      <c r="B143" s="218"/>
      <c r="C143" s="168"/>
      <c r="D143" s="165"/>
      <c r="E143" s="165"/>
      <c r="F143" s="165"/>
      <c r="G143" s="24">
        <v>2025</v>
      </c>
      <c r="H143" s="25">
        <f>K142</f>
        <v>52263.782609026377</v>
      </c>
      <c r="I143" s="26" t="s">
        <v>56</v>
      </c>
      <c r="J143" s="56">
        <v>4</v>
      </c>
      <c r="K143" s="57">
        <v>5</v>
      </c>
    </row>
    <row r="144" spans="1:11" ht="20.25" hidden="1" customHeight="1" x14ac:dyDescent="0.25">
      <c r="A144" s="218"/>
      <c r="B144" s="218"/>
      <c r="C144" s="168"/>
      <c r="D144" s="165"/>
      <c r="E144" s="165"/>
      <c r="F144" s="165"/>
      <c r="G144" s="24"/>
      <c r="H144" s="25"/>
      <c r="I144" s="26" t="s">
        <v>26</v>
      </c>
      <c r="J144" s="56">
        <v>2</v>
      </c>
      <c r="K144" s="57">
        <v>2</v>
      </c>
    </row>
    <row r="145" spans="1:11" ht="20.25" hidden="1" customHeight="1" x14ac:dyDescent="0.25">
      <c r="A145" s="218"/>
      <c r="B145" s="218"/>
      <c r="C145" s="168"/>
      <c r="D145" s="165"/>
      <c r="E145" s="165"/>
      <c r="F145" s="165"/>
      <c r="G145" s="24"/>
      <c r="H145" s="25"/>
      <c r="I145" s="26" t="s">
        <v>28</v>
      </c>
      <c r="J145" s="56">
        <f>J143-J144</f>
        <v>2</v>
      </c>
      <c r="K145" s="57">
        <f>K143-K144</f>
        <v>3</v>
      </c>
    </row>
    <row r="146" spans="1:11" ht="26.25" hidden="1" customHeight="1" x14ac:dyDescent="0.25">
      <c r="A146" s="218"/>
      <c r="B146" s="218"/>
      <c r="C146" s="168"/>
      <c r="D146" s="165"/>
      <c r="E146" s="165"/>
      <c r="F146" s="165"/>
      <c r="G146" s="24"/>
      <c r="H146" s="25"/>
      <c r="I146" s="26" t="s">
        <v>16</v>
      </c>
      <c r="J146" s="58">
        <f>J142/J143</f>
        <v>9889.995538905001</v>
      </c>
      <c r="K146" s="59">
        <f>K142/K143</f>
        <v>10452.756521805275</v>
      </c>
    </row>
    <row r="147" spans="1:11" ht="20.25" hidden="1" customHeight="1" x14ac:dyDescent="0.25">
      <c r="A147" s="218"/>
      <c r="B147" s="218"/>
      <c r="C147" s="168"/>
      <c r="D147" s="165"/>
      <c r="E147" s="165"/>
      <c r="F147" s="165"/>
      <c r="G147" s="24"/>
      <c r="H147" s="25"/>
      <c r="I147" s="26" t="s">
        <v>26</v>
      </c>
      <c r="J147" s="58">
        <f>J142/J144*J144/J143</f>
        <v>9889.995538905001</v>
      </c>
      <c r="K147" s="59">
        <f>K142/K144*K144/K143</f>
        <v>10452.756521805275</v>
      </c>
    </row>
    <row r="148" spans="1:11" ht="20.25" hidden="1" customHeight="1" x14ac:dyDescent="0.25">
      <c r="A148" s="218"/>
      <c r="B148" s="218"/>
      <c r="C148" s="168"/>
      <c r="D148" s="165"/>
      <c r="E148" s="165"/>
      <c r="F148" s="165"/>
      <c r="G148" s="24"/>
      <c r="H148" s="25"/>
      <c r="I148" s="26" t="s">
        <v>28</v>
      </c>
      <c r="J148" s="58">
        <f>J142/J145*J145/J143</f>
        <v>9889.995538905001</v>
      </c>
      <c r="K148" s="59">
        <f>K142/K145*K145/K143</f>
        <v>10452.756521805273</v>
      </c>
    </row>
    <row r="149" spans="1:11" ht="20.25" hidden="1" customHeight="1" x14ac:dyDescent="0.25">
      <c r="A149" s="218"/>
      <c r="B149" s="218"/>
      <c r="C149" s="169"/>
      <c r="D149" s="166"/>
      <c r="E149" s="166"/>
      <c r="F149" s="166"/>
      <c r="G149" s="51"/>
      <c r="H149" s="52"/>
      <c r="I149" s="60" t="s">
        <v>51</v>
      </c>
      <c r="J149" s="61">
        <v>1</v>
      </c>
      <c r="K149" s="62">
        <v>1</v>
      </c>
    </row>
    <row r="150" spans="1:11" ht="20.25" hidden="1" customHeight="1" x14ac:dyDescent="0.25">
      <c r="A150" s="218"/>
      <c r="B150" s="218"/>
      <c r="C150" s="167" t="s">
        <v>39</v>
      </c>
      <c r="D150" s="164" t="s">
        <v>12</v>
      </c>
      <c r="E150" s="164" t="s">
        <v>52</v>
      </c>
      <c r="F150" s="164" t="s">
        <v>13</v>
      </c>
      <c r="G150" s="19" t="s">
        <v>14</v>
      </c>
      <c r="H150" s="20">
        <f>H151+H152</f>
        <v>16431.327899999997</v>
      </c>
      <c r="I150" s="21"/>
      <c r="J150" s="22"/>
      <c r="K150" s="23"/>
    </row>
    <row r="151" spans="1:11" ht="20.25" hidden="1" customHeight="1" x14ac:dyDescent="0.25">
      <c r="A151" s="218"/>
      <c r="B151" s="218"/>
      <c r="C151" s="168"/>
      <c r="D151" s="165"/>
      <c r="E151" s="165"/>
      <c r="F151" s="165"/>
      <c r="G151" s="24">
        <v>2024</v>
      </c>
      <c r="H151" s="25">
        <f>J151</f>
        <v>11549.46</v>
      </c>
      <c r="I151" s="26" t="s">
        <v>19</v>
      </c>
      <c r="J151" s="54">
        <f>10140000*1.139/1000</f>
        <v>11549.46</v>
      </c>
      <c r="K151" s="55">
        <f>3900000*1.139*1.099/1000</f>
        <v>4881.8678999999993</v>
      </c>
    </row>
    <row r="152" spans="1:11" ht="39" hidden="1" customHeight="1" x14ac:dyDescent="0.25">
      <c r="A152" s="218"/>
      <c r="B152" s="218"/>
      <c r="C152" s="168"/>
      <c r="D152" s="165"/>
      <c r="E152" s="165"/>
      <c r="F152" s="165"/>
      <c r="G152" s="24">
        <v>2025</v>
      </c>
      <c r="H152" s="25">
        <f>K151</f>
        <v>4881.8678999999993</v>
      </c>
      <c r="I152" s="26" t="s">
        <v>57</v>
      </c>
      <c r="J152" s="56">
        <v>2</v>
      </c>
      <c r="K152" s="57">
        <v>1</v>
      </c>
    </row>
    <row r="153" spans="1:11" ht="20.25" hidden="1" customHeight="1" x14ac:dyDescent="0.25">
      <c r="A153" s="218"/>
      <c r="B153" s="218"/>
      <c r="C153" s="168"/>
      <c r="D153" s="165"/>
      <c r="E153" s="165"/>
      <c r="F153" s="165"/>
      <c r="G153" s="24"/>
      <c r="H153" s="25"/>
      <c r="I153" s="26" t="s">
        <v>26</v>
      </c>
      <c r="J153" s="56">
        <v>1</v>
      </c>
      <c r="K153" s="57">
        <v>1</v>
      </c>
    </row>
    <row r="154" spans="1:11" ht="20.25" hidden="1" customHeight="1" x14ac:dyDescent="0.25">
      <c r="A154" s="218"/>
      <c r="B154" s="218"/>
      <c r="C154" s="168"/>
      <c r="D154" s="165"/>
      <c r="E154" s="165"/>
      <c r="F154" s="165"/>
      <c r="G154" s="24"/>
      <c r="H154" s="25"/>
      <c r="I154" s="26" t="s">
        <v>28</v>
      </c>
      <c r="J154" s="56">
        <f>J152-J153</f>
        <v>1</v>
      </c>
      <c r="K154" s="57">
        <f>K152-K153</f>
        <v>0</v>
      </c>
    </row>
    <row r="155" spans="1:11" ht="26.25" hidden="1" customHeight="1" x14ac:dyDescent="0.25">
      <c r="A155" s="218"/>
      <c r="B155" s="218"/>
      <c r="C155" s="168"/>
      <c r="D155" s="165"/>
      <c r="E155" s="165"/>
      <c r="F155" s="165"/>
      <c r="G155" s="24"/>
      <c r="H155" s="25"/>
      <c r="I155" s="26" t="s">
        <v>55</v>
      </c>
      <c r="J155" s="58">
        <f>J151/J152</f>
        <v>5774.73</v>
      </c>
      <c r="K155" s="59">
        <f>K151/K152</f>
        <v>4881.8678999999993</v>
      </c>
    </row>
    <row r="156" spans="1:11" ht="20.25" hidden="1" customHeight="1" x14ac:dyDescent="0.25">
      <c r="A156" s="218"/>
      <c r="B156" s="218"/>
      <c r="C156" s="168"/>
      <c r="D156" s="165"/>
      <c r="E156" s="165"/>
      <c r="F156" s="165"/>
      <c r="G156" s="24"/>
      <c r="H156" s="25"/>
      <c r="I156" s="26" t="s">
        <v>26</v>
      </c>
      <c r="J156" s="58">
        <f>J151/J153*J153/J152</f>
        <v>5774.73</v>
      </c>
      <c r="K156" s="59">
        <f>K151/K153*K153/K152</f>
        <v>4881.8678999999993</v>
      </c>
    </row>
    <row r="157" spans="1:11" ht="20.25" hidden="1" customHeight="1" x14ac:dyDescent="0.25">
      <c r="A157" s="218"/>
      <c r="B157" s="218"/>
      <c r="C157" s="168"/>
      <c r="D157" s="165"/>
      <c r="E157" s="165"/>
      <c r="F157" s="165"/>
      <c r="G157" s="24"/>
      <c r="H157" s="25"/>
      <c r="I157" s="26" t="s">
        <v>28</v>
      </c>
      <c r="J157" s="58">
        <f>J151/J154*J154/J152</f>
        <v>5774.73</v>
      </c>
      <c r="K157" s="59"/>
    </row>
    <row r="158" spans="1:11" ht="20.25" hidden="1" customHeight="1" x14ac:dyDescent="0.25">
      <c r="A158" s="218"/>
      <c r="B158" s="218"/>
      <c r="C158" s="169"/>
      <c r="D158" s="166"/>
      <c r="E158" s="166"/>
      <c r="F158" s="166"/>
      <c r="G158" s="51"/>
      <c r="H158" s="52"/>
      <c r="I158" s="60" t="s">
        <v>51</v>
      </c>
      <c r="J158" s="61">
        <v>1</v>
      </c>
      <c r="K158" s="62">
        <v>1</v>
      </c>
    </row>
    <row r="159" spans="1:11" ht="19.5" customHeight="1" x14ac:dyDescent="0.25">
      <c r="A159" s="218"/>
      <c r="B159" s="218"/>
      <c r="C159" s="167" t="s">
        <v>123</v>
      </c>
      <c r="D159" s="164" t="s">
        <v>12</v>
      </c>
      <c r="E159" s="164" t="s">
        <v>52</v>
      </c>
      <c r="F159" s="164" t="s">
        <v>13</v>
      </c>
      <c r="G159" s="19" t="s">
        <v>14</v>
      </c>
      <c r="H159" s="20">
        <f>H160+H161</f>
        <v>62939.908719040082</v>
      </c>
      <c r="I159" s="21"/>
      <c r="J159" s="22"/>
      <c r="K159" s="23"/>
    </row>
    <row r="160" spans="1:11" ht="19.5" x14ac:dyDescent="0.25">
      <c r="A160" s="218"/>
      <c r="B160" s="218"/>
      <c r="C160" s="168"/>
      <c r="D160" s="165"/>
      <c r="E160" s="165"/>
      <c r="F160" s="165"/>
      <c r="G160" s="24">
        <v>2024</v>
      </c>
      <c r="H160" s="25">
        <f>J160</f>
        <v>29985.663991920002</v>
      </c>
      <c r="I160" s="26" t="s">
        <v>19</v>
      </c>
      <c r="J160" s="68">
        <f>26326307.28*1.139/1000</f>
        <v>29985.663991920002</v>
      </c>
      <c r="K160" s="69">
        <f>J160*1.099</f>
        <v>32954.24472712008</v>
      </c>
    </row>
    <row r="161" spans="1:11" ht="42.75" customHeight="1" x14ac:dyDescent="0.25">
      <c r="A161" s="218"/>
      <c r="B161" s="218"/>
      <c r="C161" s="168"/>
      <c r="D161" s="165"/>
      <c r="E161" s="165"/>
      <c r="F161" s="165"/>
      <c r="G161" s="24">
        <v>2025</v>
      </c>
      <c r="H161" s="25">
        <f>K160</f>
        <v>32954.24472712008</v>
      </c>
      <c r="I161" s="26" t="s">
        <v>29</v>
      </c>
      <c r="J161" s="56">
        <v>1</v>
      </c>
      <c r="K161" s="57">
        <v>1</v>
      </c>
    </row>
    <row r="162" spans="1:11" ht="25.5" x14ac:dyDescent="0.25">
      <c r="A162" s="218"/>
      <c r="B162" s="218"/>
      <c r="C162" s="168"/>
      <c r="D162" s="165"/>
      <c r="E162" s="165"/>
      <c r="F162" s="165"/>
      <c r="G162" s="24"/>
      <c r="H162" s="25"/>
      <c r="I162" s="26" t="s">
        <v>94</v>
      </c>
      <c r="J162" s="70">
        <f>J160/J161</f>
        <v>29985.663991920002</v>
      </c>
      <c r="K162" s="71">
        <f>K160/K161</f>
        <v>32954.24472712008</v>
      </c>
    </row>
    <row r="163" spans="1:11" ht="20.25" thickBot="1" x14ac:dyDescent="0.3">
      <c r="A163" s="218"/>
      <c r="B163" s="218"/>
      <c r="C163" s="169"/>
      <c r="D163" s="166"/>
      <c r="E163" s="166"/>
      <c r="F163" s="166"/>
      <c r="G163" s="51"/>
      <c r="H163" s="52"/>
      <c r="I163" s="60" t="s">
        <v>51</v>
      </c>
      <c r="J163" s="61">
        <v>1</v>
      </c>
      <c r="K163" s="62">
        <v>1</v>
      </c>
    </row>
    <row r="164" spans="1:11" ht="19.5" customHeight="1" x14ac:dyDescent="0.25">
      <c r="A164" s="218"/>
      <c r="B164" s="218"/>
      <c r="C164" s="167" t="s">
        <v>124</v>
      </c>
      <c r="D164" s="164" t="s">
        <v>12</v>
      </c>
      <c r="E164" s="164" t="s">
        <v>52</v>
      </c>
      <c r="F164" s="164" t="s">
        <v>13</v>
      </c>
      <c r="G164" s="19" t="s">
        <v>14</v>
      </c>
      <c r="H164" s="20">
        <f>H165+H166</f>
        <v>57585.789227082998</v>
      </c>
      <c r="I164" s="21"/>
      <c r="J164" s="22"/>
      <c r="K164" s="23"/>
    </row>
    <row r="165" spans="1:11" ht="19.5" x14ac:dyDescent="0.25">
      <c r="A165" s="218"/>
      <c r="B165" s="218"/>
      <c r="C165" s="168"/>
      <c r="D165" s="165"/>
      <c r="E165" s="165"/>
      <c r="F165" s="165"/>
      <c r="G165" s="24">
        <v>2024</v>
      </c>
      <c r="H165" s="25">
        <f>J165</f>
        <v>27434.868617</v>
      </c>
      <c r="I165" s="26" t="s">
        <v>19</v>
      </c>
      <c r="J165" s="68">
        <f>24086.803*113.9%</f>
        <v>27434.868617</v>
      </c>
      <c r="K165" s="69">
        <f>J165*109.9%</f>
        <v>30150.920610082998</v>
      </c>
    </row>
    <row r="166" spans="1:11" ht="38.25" x14ac:dyDescent="0.25">
      <c r="A166" s="218"/>
      <c r="B166" s="218"/>
      <c r="C166" s="168"/>
      <c r="D166" s="165"/>
      <c r="E166" s="165"/>
      <c r="F166" s="165"/>
      <c r="G166" s="24">
        <v>2025</v>
      </c>
      <c r="H166" s="25">
        <f>K165</f>
        <v>30150.920610082998</v>
      </c>
      <c r="I166" s="26" t="s">
        <v>182</v>
      </c>
      <c r="J166" s="56">
        <v>10</v>
      </c>
      <c r="K166" s="57">
        <v>10</v>
      </c>
    </row>
    <row r="167" spans="1:11" ht="19.5" x14ac:dyDescent="0.25">
      <c r="A167" s="218"/>
      <c r="B167" s="218"/>
      <c r="C167" s="168"/>
      <c r="D167" s="165"/>
      <c r="E167" s="165"/>
      <c r="F167" s="165"/>
      <c r="G167" s="24"/>
      <c r="H167" s="25"/>
      <c r="I167" s="26" t="s">
        <v>26</v>
      </c>
      <c r="J167" s="56">
        <v>6</v>
      </c>
      <c r="K167" s="57">
        <v>6</v>
      </c>
    </row>
    <row r="168" spans="1:11" ht="19.5" x14ac:dyDescent="0.25">
      <c r="A168" s="218"/>
      <c r="B168" s="218"/>
      <c r="C168" s="168"/>
      <c r="D168" s="165"/>
      <c r="E168" s="165"/>
      <c r="F168" s="165"/>
      <c r="G168" s="24"/>
      <c r="H168" s="25"/>
      <c r="I168" s="26" t="s">
        <v>28</v>
      </c>
      <c r="J168" s="56">
        <v>4</v>
      </c>
      <c r="K168" s="57">
        <v>4</v>
      </c>
    </row>
    <row r="169" spans="1:11" ht="25.5" x14ac:dyDescent="0.25">
      <c r="A169" s="218"/>
      <c r="B169" s="218"/>
      <c r="C169" s="168"/>
      <c r="D169" s="165"/>
      <c r="E169" s="165"/>
      <c r="F169" s="165"/>
      <c r="G169" s="24"/>
      <c r="H169" s="25"/>
      <c r="I169" s="26" t="s">
        <v>55</v>
      </c>
      <c r="J169" s="70">
        <f>J165/J166</f>
        <v>2743.4868617000002</v>
      </c>
      <c r="K169" s="71">
        <f>K165/K166</f>
        <v>3015.0920610082999</v>
      </c>
    </row>
    <row r="170" spans="1:11" ht="20.25" thickBot="1" x14ac:dyDescent="0.3">
      <c r="A170" s="218"/>
      <c r="B170" s="218"/>
      <c r="C170" s="169"/>
      <c r="D170" s="166"/>
      <c r="E170" s="166"/>
      <c r="F170" s="166"/>
      <c r="G170" s="51"/>
      <c r="H170" s="52"/>
      <c r="I170" s="60" t="s">
        <v>51</v>
      </c>
      <c r="J170" s="61">
        <v>1</v>
      </c>
      <c r="K170" s="62">
        <v>1</v>
      </c>
    </row>
    <row r="171" spans="1:11" ht="19.5" customHeight="1" x14ac:dyDescent="0.25">
      <c r="A171" s="218"/>
      <c r="B171" s="218"/>
      <c r="C171" s="167" t="s">
        <v>125</v>
      </c>
      <c r="D171" s="164" t="s">
        <v>12</v>
      </c>
      <c r="E171" s="164" t="s">
        <v>52</v>
      </c>
      <c r="F171" s="164" t="s">
        <v>13</v>
      </c>
      <c r="G171" s="19" t="s">
        <v>14</v>
      </c>
      <c r="H171" s="20">
        <f>H172+H173</f>
        <v>2208.6451504988395</v>
      </c>
      <c r="I171" s="21"/>
      <c r="J171" s="22"/>
      <c r="K171" s="23"/>
    </row>
    <row r="172" spans="1:11" ht="19.5" x14ac:dyDescent="0.25">
      <c r="A172" s="218"/>
      <c r="B172" s="218"/>
      <c r="C172" s="168"/>
      <c r="D172" s="165"/>
      <c r="E172" s="165"/>
      <c r="F172" s="165"/>
      <c r="G172" s="24">
        <v>2024</v>
      </c>
      <c r="H172" s="25">
        <f>J172</f>
        <v>979.0097271599999</v>
      </c>
      <c r="I172" s="26" t="s">
        <v>19</v>
      </c>
      <c r="J172" s="68">
        <f>859534.44*1.139/1000</f>
        <v>979.0097271599999</v>
      </c>
      <c r="K172" s="69">
        <f>982324.44*1.139*1.099/1000</f>
        <v>1229.6354233388397</v>
      </c>
    </row>
    <row r="173" spans="1:11" ht="38.25" x14ac:dyDescent="0.25">
      <c r="A173" s="218"/>
      <c r="B173" s="218"/>
      <c r="C173" s="168"/>
      <c r="D173" s="165"/>
      <c r="E173" s="165"/>
      <c r="F173" s="165"/>
      <c r="G173" s="24">
        <v>2025</v>
      </c>
      <c r="H173" s="25">
        <f>K172</f>
        <v>1229.6354233388397</v>
      </c>
      <c r="I173" s="26" t="s">
        <v>183</v>
      </c>
      <c r="J173" s="56">
        <v>7</v>
      </c>
      <c r="K173" s="57">
        <v>8</v>
      </c>
    </row>
    <row r="174" spans="1:11" ht="19.5" x14ac:dyDescent="0.25">
      <c r="A174" s="218"/>
      <c r="B174" s="218"/>
      <c r="C174" s="168"/>
      <c r="D174" s="165"/>
      <c r="E174" s="165"/>
      <c r="F174" s="165"/>
      <c r="G174" s="24"/>
      <c r="H174" s="25"/>
      <c r="I174" s="26" t="s">
        <v>26</v>
      </c>
      <c r="J174" s="56">
        <v>4</v>
      </c>
      <c r="K174" s="57">
        <v>4</v>
      </c>
    </row>
    <row r="175" spans="1:11" ht="19.5" x14ac:dyDescent="0.25">
      <c r="A175" s="218"/>
      <c r="B175" s="218"/>
      <c r="C175" s="168"/>
      <c r="D175" s="165"/>
      <c r="E175" s="165"/>
      <c r="F175" s="165"/>
      <c r="G175" s="24"/>
      <c r="H175" s="25"/>
      <c r="I175" s="26" t="s">
        <v>28</v>
      </c>
      <c r="J175" s="56">
        <v>3</v>
      </c>
      <c r="K175" s="57">
        <v>4</v>
      </c>
    </row>
    <row r="176" spans="1:11" ht="25.5" x14ac:dyDescent="0.25">
      <c r="A176" s="218"/>
      <c r="B176" s="218"/>
      <c r="C176" s="168"/>
      <c r="D176" s="165"/>
      <c r="E176" s="165"/>
      <c r="F176" s="165"/>
      <c r="G176" s="24"/>
      <c r="H176" s="25"/>
      <c r="I176" s="26" t="s">
        <v>16</v>
      </c>
      <c r="J176" s="70">
        <f>J172/J173</f>
        <v>139.85853245142854</v>
      </c>
      <c r="K176" s="71">
        <f>K172/K173</f>
        <v>153.70442791735496</v>
      </c>
    </row>
    <row r="177" spans="1:11" ht="20.25" thickBot="1" x14ac:dyDescent="0.3">
      <c r="A177" s="218"/>
      <c r="B177" s="218"/>
      <c r="C177" s="169"/>
      <c r="D177" s="166"/>
      <c r="E177" s="166"/>
      <c r="F177" s="166"/>
      <c r="G177" s="51"/>
      <c r="H177" s="52"/>
      <c r="I177" s="60" t="s">
        <v>51</v>
      </c>
      <c r="J177" s="61">
        <v>1</v>
      </c>
      <c r="K177" s="62">
        <v>1</v>
      </c>
    </row>
    <row r="178" spans="1:11" ht="19.5" customHeight="1" x14ac:dyDescent="0.25">
      <c r="A178" s="218"/>
      <c r="B178" s="218"/>
      <c r="C178" s="167" t="s">
        <v>126</v>
      </c>
      <c r="D178" s="164" t="s">
        <v>12</v>
      </c>
      <c r="E178" s="164" t="s">
        <v>52</v>
      </c>
      <c r="F178" s="164" t="s">
        <v>13</v>
      </c>
      <c r="G178" s="19" t="s">
        <v>14</v>
      </c>
      <c r="H178" s="20">
        <f>H179+H180</f>
        <v>19842.292300273999</v>
      </c>
      <c r="I178" s="21"/>
      <c r="J178" s="22"/>
      <c r="K178" s="23"/>
    </row>
    <row r="179" spans="1:11" ht="19.5" x14ac:dyDescent="0.25">
      <c r="A179" s="218"/>
      <c r="B179" s="218"/>
      <c r="C179" s="168"/>
      <c r="D179" s="165"/>
      <c r="E179" s="165"/>
      <c r="F179" s="165"/>
      <c r="G179" s="24">
        <v>2024</v>
      </c>
      <c r="H179" s="25">
        <f>J179</f>
        <v>9377.0270760000003</v>
      </c>
      <c r="I179" s="26" t="s">
        <v>19</v>
      </c>
      <c r="J179" s="68">
        <f>(77030+8155654)*1.139/1000</f>
        <v>9377.0270760000003</v>
      </c>
      <c r="K179" s="69">
        <f>(77030+8283404)*1.139*1.099/1000</f>
        <v>10465.265224273999</v>
      </c>
    </row>
    <row r="180" spans="1:11" ht="69" customHeight="1" x14ac:dyDescent="0.25">
      <c r="A180" s="218"/>
      <c r="B180" s="218"/>
      <c r="C180" s="168"/>
      <c r="D180" s="165"/>
      <c r="E180" s="165"/>
      <c r="F180" s="165"/>
      <c r="G180" s="24">
        <v>2025</v>
      </c>
      <c r="H180" s="25">
        <f>K179</f>
        <v>10465.265224273999</v>
      </c>
      <c r="I180" s="26" t="s">
        <v>174</v>
      </c>
      <c r="J180" s="56">
        <f>J181+J182</f>
        <v>164</v>
      </c>
      <c r="K180" s="57">
        <f>K181+K182</f>
        <v>164</v>
      </c>
    </row>
    <row r="181" spans="1:11" ht="19.5" x14ac:dyDescent="0.25">
      <c r="A181" s="218"/>
      <c r="B181" s="218"/>
      <c r="C181" s="168"/>
      <c r="D181" s="165"/>
      <c r="E181" s="165"/>
      <c r="F181" s="165"/>
      <c r="G181" s="24"/>
      <c r="H181" s="25"/>
      <c r="I181" s="26" t="s">
        <v>26</v>
      </c>
      <c r="J181" s="56">
        <v>99</v>
      </c>
      <c r="K181" s="57">
        <v>99</v>
      </c>
    </row>
    <row r="182" spans="1:11" ht="19.5" x14ac:dyDescent="0.25">
      <c r="A182" s="218"/>
      <c r="B182" s="218"/>
      <c r="C182" s="168"/>
      <c r="D182" s="165"/>
      <c r="E182" s="165"/>
      <c r="F182" s="165"/>
      <c r="G182" s="24"/>
      <c r="H182" s="25"/>
      <c r="I182" s="26" t="s">
        <v>28</v>
      </c>
      <c r="J182" s="56">
        <f>49+16</f>
        <v>65</v>
      </c>
      <c r="K182" s="57">
        <v>65</v>
      </c>
    </row>
    <row r="183" spans="1:11" ht="27.75" customHeight="1" x14ac:dyDescent="0.25">
      <c r="A183" s="218"/>
      <c r="B183" s="218"/>
      <c r="C183" s="168"/>
      <c r="D183" s="165"/>
      <c r="E183" s="165"/>
      <c r="F183" s="165"/>
      <c r="G183" s="24"/>
      <c r="H183" s="25"/>
      <c r="I183" s="26" t="s">
        <v>96</v>
      </c>
      <c r="J183" s="70">
        <f>J179/J180</f>
        <v>57.176994365853659</v>
      </c>
      <c r="K183" s="71">
        <f>K179/K180</f>
        <v>63.812592830939018</v>
      </c>
    </row>
    <row r="184" spans="1:11" ht="20.25" thickBot="1" x14ac:dyDescent="0.3">
      <c r="A184" s="218"/>
      <c r="B184" s="218"/>
      <c r="C184" s="169"/>
      <c r="D184" s="166"/>
      <c r="E184" s="166"/>
      <c r="F184" s="166"/>
      <c r="G184" s="51"/>
      <c r="H184" s="52"/>
      <c r="I184" s="60" t="s">
        <v>51</v>
      </c>
      <c r="J184" s="61">
        <v>1</v>
      </c>
      <c r="K184" s="62">
        <v>1</v>
      </c>
    </row>
    <row r="185" spans="1:11" ht="19.5" customHeight="1" x14ac:dyDescent="0.25">
      <c r="A185" s="218"/>
      <c r="B185" s="218"/>
      <c r="C185" s="167" t="s">
        <v>127</v>
      </c>
      <c r="D185" s="164" t="s">
        <v>12</v>
      </c>
      <c r="E185" s="164" t="s">
        <v>52</v>
      </c>
      <c r="F185" s="164" t="s">
        <v>13</v>
      </c>
      <c r="G185" s="19" t="s">
        <v>14</v>
      </c>
      <c r="H185" s="20">
        <f>H186+H187</f>
        <v>2751.0486827000004</v>
      </c>
      <c r="I185" s="21"/>
      <c r="J185" s="22"/>
      <c r="K185" s="23"/>
    </row>
    <row r="186" spans="1:11" ht="19.5" x14ac:dyDescent="0.25">
      <c r="A186" s="218"/>
      <c r="B186" s="218"/>
      <c r="C186" s="168"/>
      <c r="D186" s="165"/>
      <c r="E186" s="165"/>
      <c r="F186" s="165"/>
      <c r="G186" s="24">
        <v>2024</v>
      </c>
      <c r="H186" s="25">
        <f>J186</f>
        <v>1310.6473000000001</v>
      </c>
      <c r="I186" s="26" t="s">
        <v>19</v>
      </c>
      <c r="J186" s="68">
        <f>1150700*1.139/1000</f>
        <v>1310.6473000000001</v>
      </c>
      <c r="K186" s="69">
        <f>J186*109.9%</f>
        <v>1440.4013827000001</v>
      </c>
    </row>
    <row r="187" spans="1:11" ht="55.5" customHeight="1" x14ac:dyDescent="0.25">
      <c r="A187" s="218"/>
      <c r="B187" s="218"/>
      <c r="C187" s="168"/>
      <c r="D187" s="165"/>
      <c r="E187" s="165"/>
      <c r="F187" s="165"/>
      <c r="G187" s="24">
        <v>2025</v>
      </c>
      <c r="H187" s="25">
        <f>K186</f>
        <v>1440.4013827000001</v>
      </c>
      <c r="I187" s="26" t="s">
        <v>173</v>
      </c>
      <c r="J187" s="56">
        <f>J188+J189</f>
        <v>34</v>
      </c>
      <c r="K187" s="57">
        <f>K188+K189</f>
        <v>34</v>
      </c>
    </row>
    <row r="188" spans="1:11" ht="19.5" x14ac:dyDescent="0.25">
      <c r="A188" s="218"/>
      <c r="B188" s="218"/>
      <c r="C188" s="168"/>
      <c r="D188" s="165"/>
      <c r="E188" s="165"/>
      <c r="F188" s="165"/>
      <c r="G188" s="24"/>
      <c r="H188" s="25"/>
      <c r="I188" s="26" t="s">
        <v>26</v>
      </c>
      <c r="J188" s="56">
        <v>18</v>
      </c>
      <c r="K188" s="57">
        <v>18</v>
      </c>
    </row>
    <row r="189" spans="1:11" ht="19.5" x14ac:dyDescent="0.25">
      <c r="A189" s="218"/>
      <c r="B189" s="218"/>
      <c r="C189" s="168"/>
      <c r="D189" s="165"/>
      <c r="E189" s="165"/>
      <c r="F189" s="165"/>
      <c r="G189" s="24"/>
      <c r="H189" s="25"/>
      <c r="I189" s="26" t="s">
        <v>28</v>
      </c>
      <c r="J189" s="56">
        <v>16</v>
      </c>
      <c r="K189" s="57">
        <v>16</v>
      </c>
    </row>
    <row r="190" spans="1:11" ht="25.5" x14ac:dyDescent="0.25">
      <c r="A190" s="218"/>
      <c r="B190" s="218"/>
      <c r="C190" s="168"/>
      <c r="D190" s="165"/>
      <c r="E190" s="165"/>
      <c r="F190" s="165"/>
      <c r="G190" s="24"/>
      <c r="H190" s="25"/>
      <c r="I190" s="26" t="s">
        <v>16</v>
      </c>
      <c r="J190" s="70">
        <f>J186/J187</f>
        <v>38.548450000000003</v>
      </c>
      <c r="K190" s="71">
        <f>K186/K187</f>
        <v>42.364746550000007</v>
      </c>
    </row>
    <row r="191" spans="1:11" ht="20.25" thickBot="1" x14ac:dyDescent="0.3">
      <c r="A191" s="218"/>
      <c r="B191" s="218"/>
      <c r="C191" s="169"/>
      <c r="D191" s="166"/>
      <c r="E191" s="166"/>
      <c r="F191" s="166"/>
      <c r="G191" s="51"/>
      <c r="H191" s="52"/>
      <c r="I191" s="60" t="s">
        <v>51</v>
      </c>
      <c r="J191" s="61">
        <v>1</v>
      </c>
      <c r="K191" s="62">
        <v>1</v>
      </c>
    </row>
    <row r="192" spans="1:11" ht="19.5" customHeight="1" x14ac:dyDescent="0.25">
      <c r="A192" s="218"/>
      <c r="B192" s="218"/>
      <c r="C192" s="167" t="s">
        <v>128</v>
      </c>
      <c r="D192" s="164" t="s">
        <v>12</v>
      </c>
      <c r="E192" s="164" t="s">
        <v>52</v>
      </c>
      <c r="F192" s="164" t="s">
        <v>13</v>
      </c>
      <c r="G192" s="19" t="s">
        <v>14</v>
      </c>
      <c r="H192" s="20">
        <f>H193+H194</f>
        <v>5686.5047668598399</v>
      </c>
      <c r="I192" s="21"/>
      <c r="J192" s="22"/>
      <c r="K192" s="23"/>
    </row>
    <row r="193" spans="1:11" ht="19.5" x14ac:dyDescent="0.25">
      <c r="A193" s="218"/>
      <c r="B193" s="218"/>
      <c r="C193" s="168"/>
      <c r="D193" s="165"/>
      <c r="E193" s="165"/>
      <c r="F193" s="165"/>
      <c r="G193" s="24">
        <v>2024</v>
      </c>
      <c r="H193" s="25">
        <f>J193</f>
        <v>2452.3480968000003</v>
      </c>
      <c r="I193" s="26" t="s">
        <v>19</v>
      </c>
      <c r="J193" s="54">
        <f>2153071.2*1.139/1000</f>
        <v>2452.3480968000003</v>
      </c>
      <c r="K193" s="55">
        <f>2583685.44*1.139*1.099/1000</f>
        <v>3234.1566700598396</v>
      </c>
    </row>
    <row r="194" spans="1:11" ht="38.25" x14ac:dyDescent="0.25">
      <c r="A194" s="218"/>
      <c r="B194" s="218"/>
      <c r="C194" s="168"/>
      <c r="D194" s="165"/>
      <c r="E194" s="165"/>
      <c r="F194" s="165"/>
      <c r="G194" s="24">
        <v>2025</v>
      </c>
      <c r="H194" s="25">
        <f>K193</f>
        <v>3234.1566700598396</v>
      </c>
      <c r="I194" s="26" t="s">
        <v>24</v>
      </c>
      <c r="J194" s="56">
        <v>10</v>
      </c>
      <c r="K194" s="57">
        <v>12</v>
      </c>
    </row>
    <row r="195" spans="1:11" ht="25.5" x14ac:dyDescent="0.25">
      <c r="A195" s="218"/>
      <c r="B195" s="218"/>
      <c r="C195" s="168"/>
      <c r="D195" s="165"/>
      <c r="E195" s="165"/>
      <c r="F195" s="165"/>
      <c r="G195" s="24"/>
      <c r="H195" s="25"/>
      <c r="I195" s="26" t="s">
        <v>55</v>
      </c>
      <c r="J195" s="70">
        <f>J193/J194</f>
        <v>245.23480968000004</v>
      </c>
      <c r="K195" s="71">
        <f>K193/K194</f>
        <v>269.51305583831999</v>
      </c>
    </row>
    <row r="196" spans="1:11" ht="20.25" thickBot="1" x14ac:dyDescent="0.3">
      <c r="A196" s="218"/>
      <c r="B196" s="218"/>
      <c r="C196" s="169"/>
      <c r="D196" s="166"/>
      <c r="E196" s="166"/>
      <c r="F196" s="166"/>
      <c r="G196" s="51"/>
      <c r="H196" s="52"/>
      <c r="I196" s="60" t="s">
        <v>51</v>
      </c>
      <c r="J196" s="61">
        <v>1</v>
      </c>
      <c r="K196" s="62">
        <v>1</v>
      </c>
    </row>
    <row r="197" spans="1:11" ht="19.5" customHeight="1" x14ac:dyDescent="0.25">
      <c r="A197" s="218"/>
      <c r="B197" s="218"/>
      <c r="C197" s="167" t="s">
        <v>129</v>
      </c>
      <c r="D197" s="164" t="s">
        <v>12</v>
      </c>
      <c r="E197" s="164" t="s">
        <v>52</v>
      </c>
      <c r="F197" s="164" t="s">
        <v>13</v>
      </c>
      <c r="G197" s="19" t="s">
        <v>14</v>
      </c>
      <c r="H197" s="20">
        <f>H198+H199</f>
        <v>40766.800056187043</v>
      </c>
      <c r="I197" s="21"/>
      <c r="J197" s="22"/>
      <c r="K197" s="23"/>
    </row>
    <row r="198" spans="1:11" ht="19.5" x14ac:dyDescent="0.25">
      <c r="A198" s="218"/>
      <c r="B198" s="218"/>
      <c r="C198" s="168"/>
      <c r="D198" s="165"/>
      <c r="E198" s="165"/>
      <c r="F198" s="165"/>
      <c r="G198" s="24">
        <v>2024</v>
      </c>
      <c r="H198" s="25">
        <f>J198</f>
        <v>19422.010507949999</v>
      </c>
      <c r="I198" s="26" t="s">
        <v>19</v>
      </c>
      <c r="J198" s="68">
        <f>17051809.05*1.139/1000</f>
        <v>19422.010507949999</v>
      </c>
      <c r="K198" s="69">
        <f>J198*1.099</f>
        <v>21344.789548237048</v>
      </c>
    </row>
    <row r="199" spans="1:11" ht="38.25" x14ac:dyDescent="0.25">
      <c r="A199" s="218"/>
      <c r="B199" s="218"/>
      <c r="C199" s="168"/>
      <c r="D199" s="165"/>
      <c r="E199" s="165"/>
      <c r="F199" s="165"/>
      <c r="G199" s="24">
        <v>2025</v>
      </c>
      <c r="H199" s="25">
        <f>K198</f>
        <v>21344.789548237048</v>
      </c>
      <c r="I199" s="26" t="s">
        <v>144</v>
      </c>
      <c r="J199" s="56">
        <v>63</v>
      </c>
      <c r="K199" s="57">
        <v>63</v>
      </c>
    </row>
    <row r="200" spans="1:11" ht="19.5" x14ac:dyDescent="0.25">
      <c r="A200" s="218"/>
      <c r="B200" s="218"/>
      <c r="C200" s="168"/>
      <c r="D200" s="165"/>
      <c r="E200" s="165"/>
      <c r="F200" s="165"/>
      <c r="G200" s="24"/>
      <c r="H200" s="25"/>
      <c r="I200" s="26" t="s">
        <v>26</v>
      </c>
      <c r="J200" s="56">
        <v>18</v>
      </c>
      <c r="K200" s="57">
        <v>18</v>
      </c>
    </row>
    <row r="201" spans="1:11" ht="19.5" x14ac:dyDescent="0.25">
      <c r="A201" s="218"/>
      <c r="B201" s="218"/>
      <c r="C201" s="168"/>
      <c r="D201" s="165"/>
      <c r="E201" s="165"/>
      <c r="F201" s="165"/>
      <c r="G201" s="24"/>
      <c r="H201" s="25"/>
      <c r="I201" s="26" t="s">
        <v>28</v>
      </c>
      <c r="J201" s="56">
        <v>45</v>
      </c>
      <c r="K201" s="57">
        <v>45</v>
      </c>
    </row>
    <row r="202" spans="1:11" ht="25.5" x14ac:dyDescent="0.25">
      <c r="A202" s="218"/>
      <c r="B202" s="218"/>
      <c r="C202" s="168"/>
      <c r="D202" s="165"/>
      <c r="E202" s="165"/>
      <c r="F202" s="165"/>
      <c r="G202" s="24"/>
      <c r="H202" s="25"/>
      <c r="I202" s="26" t="s">
        <v>16</v>
      </c>
      <c r="J202" s="70">
        <f>J198/J199</f>
        <v>308.28588107857144</v>
      </c>
      <c r="K202" s="71">
        <f>K198/K199</f>
        <v>338.80618330534998</v>
      </c>
    </row>
    <row r="203" spans="1:11" ht="20.25" thickBot="1" x14ac:dyDescent="0.3">
      <c r="A203" s="218"/>
      <c r="B203" s="218"/>
      <c r="C203" s="169"/>
      <c r="D203" s="166"/>
      <c r="E203" s="166"/>
      <c r="F203" s="166"/>
      <c r="G203" s="51"/>
      <c r="H203" s="52"/>
      <c r="I203" s="60" t="s">
        <v>51</v>
      </c>
      <c r="J203" s="61">
        <v>1</v>
      </c>
      <c r="K203" s="62">
        <v>1</v>
      </c>
    </row>
    <row r="204" spans="1:11" ht="19.5" customHeight="1" x14ac:dyDescent="0.25">
      <c r="A204" s="218"/>
      <c r="B204" s="218"/>
      <c r="C204" s="167" t="s">
        <v>130</v>
      </c>
      <c r="D204" s="164" t="s">
        <v>12</v>
      </c>
      <c r="E204" s="164" t="s">
        <v>52</v>
      </c>
      <c r="F204" s="164" t="s">
        <v>13</v>
      </c>
      <c r="G204" s="19" t="s">
        <v>14</v>
      </c>
      <c r="H204" s="20">
        <f>H205+H206</f>
        <v>3517.8243090444998</v>
      </c>
      <c r="I204" s="21"/>
      <c r="J204" s="22"/>
      <c r="K204" s="23"/>
    </row>
    <row r="205" spans="1:11" ht="19.5" x14ac:dyDescent="0.25">
      <c r="A205" s="218"/>
      <c r="B205" s="218"/>
      <c r="C205" s="168"/>
      <c r="D205" s="165"/>
      <c r="E205" s="165"/>
      <c r="F205" s="165"/>
      <c r="G205" s="24">
        <v>2024</v>
      </c>
      <c r="H205" s="25">
        <f>J205</f>
        <v>1675.9525054999999</v>
      </c>
      <c r="I205" s="26" t="s">
        <v>19</v>
      </c>
      <c r="J205" s="68">
        <f>1471424.5*1.139/1000</f>
        <v>1675.9525054999999</v>
      </c>
      <c r="K205" s="69">
        <f>J205*1.099</f>
        <v>1841.8718035444999</v>
      </c>
    </row>
    <row r="206" spans="1:11" ht="38.25" x14ac:dyDescent="0.25">
      <c r="A206" s="218"/>
      <c r="B206" s="218"/>
      <c r="C206" s="168"/>
      <c r="D206" s="165"/>
      <c r="E206" s="165"/>
      <c r="F206" s="165"/>
      <c r="G206" s="24">
        <v>2025</v>
      </c>
      <c r="H206" s="25">
        <f>K205</f>
        <v>1841.8718035444999</v>
      </c>
      <c r="I206" s="26" t="s">
        <v>180</v>
      </c>
      <c r="J206" s="56">
        <v>2</v>
      </c>
      <c r="K206" s="57">
        <v>2</v>
      </c>
    </row>
    <row r="207" spans="1:11" ht="19.5" x14ac:dyDescent="0.25">
      <c r="A207" s="218"/>
      <c r="B207" s="218"/>
      <c r="C207" s="168"/>
      <c r="D207" s="165"/>
      <c r="E207" s="165"/>
      <c r="F207" s="165"/>
      <c r="G207" s="24"/>
      <c r="H207" s="25"/>
      <c r="I207" s="26" t="s">
        <v>26</v>
      </c>
      <c r="J207" s="56">
        <v>1</v>
      </c>
      <c r="K207" s="57">
        <v>1</v>
      </c>
    </row>
    <row r="208" spans="1:11" ht="19.5" x14ac:dyDescent="0.25">
      <c r="A208" s="218"/>
      <c r="B208" s="218"/>
      <c r="C208" s="168"/>
      <c r="D208" s="165"/>
      <c r="E208" s="165"/>
      <c r="F208" s="165"/>
      <c r="G208" s="24"/>
      <c r="H208" s="25"/>
      <c r="I208" s="26" t="s">
        <v>28</v>
      </c>
      <c r="J208" s="56">
        <v>1</v>
      </c>
      <c r="K208" s="57">
        <v>1</v>
      </c>
    </row>
    <row r="209" spans="1:11" ht="25.5" x14ac:dyDescent="0.25">
      <c r="A209" s="218"/>
      <c r="B209" s="218"/>
      <c r="C209" s="168"/>
      <c r="D209" s="165"/>
      <c r="E209" s="165"/>
      <c r="F209" s="165"/>
      <c r="G209" s="24"/>
      <c r="H209" s="25"/>
      <c r="I209" s="26" t="s">
        <v>55</v>
      </c>
      <c r="J209" s="70">
        <f>J205/J206</f>
        <v>837.97625274999996</v>
      </c>
      <c r="K209" s="71">
        <f>K205/K206</f>
        <v>920.93590177224996</v>
      </c>
    </row>
    <row r="210" spans="1:11" ht="20.25" thickBot="1" x14ac:dyDescent="0.3">
      <c r="A210" s="218"/>
      <c r="B210" s="218"/>
      <c r="C210" s="169"/>
      <c r="D210" s="166"/>
      <c r="E210" s="166"/>
      <c r="F210" s="166"/>
      <c r="G210" s="51"/>
      <c r="H210" s="52"/>
      <c r="I210" s="60" t="s">
        <v>51</v>
      </c>
      <c r="J210" s="61">
        <v>1</v>
      </c>
      <c r="K210" s="62">
        <v>1</v>
      </c>
    </row>
    <row r="211" spans="1:11" ht="19.5" customHeight="1" x14ac:dyDescent="0.25">
      <c r="A211" s="218"/>
      <c r="B211" s="218"/>
      <c r="C211" s="167" t="s">
        <v>131</v>
      </c>
      <c r="D211" s="164" t="s">
        <v>12</v>
      </c>
      <c r="E211" s="164" t="s">
        <v>52</v>
      </c>
      <c r="F211" s="164" t="s">
        <v>13</v>
      </c>
      <c r="G211" s="19" t="s">
        <v>14</v>
      </c>
      <c r="H211" s="20">
        <f>H212+H213</f>
        <v>1192.18406</v>
      </c>
      <c r="I211" s="21"/>
      <c r="J211" s="22"/>
      <c r="K211" s="23"/>
    </row>
    <row r="212" spans="1:11" ht="19.5" x14ac:dyDescent="0.25">
      <c r="A212" s="218"/>
      <c r="B212" s="218"/>
      <c r="C212" s="168"/>
      <c r="D212" s="165"/>
      <c r="E212" s="165"/>
      <c r="F212" s="165"/>
      <c r="G212" s="24">
        <v>2024</v>
      </c>
      <c r="H212" s="25">
        <f>J212</f>
        <v>567.97716000000003</v>
      </c>
      <c r="I212" s="26" t="s">
        <v>19</v>
      </c>
      <c r="J212" s="68">
        <f>567977.16/1000</f>
        <v>567.97716000000003</v>
      </c>
      <c r="K212" s="69">
        <f>624206.9/1000</f>
        <v>624.20690000000002</v>
      </c>
    </row>
    <row r="213" spans="1:11" ht="38.25" x14ac:dyDescent="0.25">
      <c r="A213" s="218"/>
      <c r="B213" s="218"/>
      <c r="C213" s="168"/>
      <c r="D213" s="165"/>
      <c r="E213" s="165"/>
      <c r="F213" s="165"/>
      <c r="G213" s="24">
        <v>2025</v>
      </c>
      <c r="H213" s="25">
        <f>K212</f>
        <v>624.20690000000002</v>
      </c>
      <c r="I213" s="26" t="s">
        <v>31</v>
      </c>
      <c r="J213" s="56">
        <v>1</v>
      </c>
      <c r="K213" s="57">
        <v>1</v>
      </c>
    </row>
    <row r="214" spans="1:11" ht="25.5" x14ac:dyDescent="0.25">
      <c r="A214" s="218"/>
      <c r="B214" s="218"/>
      <c r="C214" s="168"/>
      <c r="D214" s="165"/>
      <c r="E214" s="165"/>
      <c r="F214" s="165"/>
      <c r="G214" s="24"/>
      <c r="H214" s="25"/>
      <c r="I214" s="26" t="s">
        <v>94</v>
      </c>
      <c r="J214" s="70">
        <f>J212/J213</f>
        <v>567.97716000000003</v>
      </c>
      <c r="K214" s="71">
        <f>K212/K213</f>
        <v>624.20690000000002</v>
      </c>
    </row>
    <row r="215" spans="1:11" ht="20.25" thickBot="1" x14ac:dyDescent="0.3">
      <c r="A215" s="218"/>
      <c r="B215" s="218"/>
      <c r="C215" s="169"/>
      <c r="D215" s="166"/>
      <c r="E215" s="166"/>
      <c r="F215" s="166"/>
      <c r="G215" s="51"/>
      <c r="H215" s="52"/>
      <c r="I215" s="60" t="s">
        <v>51</v>
      </c>
      <c r="J215" s="61">
        <v>1</v>
      </c>
      <c r="K215" s="62">
        <v>1</v>
      </c>
    </row>
    <row r="216" spans="1:11" ht="19.5" customHeight="1" x14ac:dyDescent="0.25">
      <c r="A216" s="218"/>
      <c r="B216" s="218"/>
      <c r="C216" s="167" t="s">
        <v>132</v>
      </c>
      <c r="D216" s="164" t="s">
        <v>12</v>
      </c>
      <c r="E216" s="164" t="s">
        <v>52</v>
      </c>
      <c r="F216" s="164" t="s">
        <v>13</v>
      </c>
      <c r="G216" s="19" t="s">
        <v>14</v>
      </c>
      <c r="H216" s="20">
        <f>H217+H218</f>
        <v>683.46441916334993</v>
      </c>
      <c r="I216" s="21"/>
      <c r="J216" s="22"/>
      <c r="K216" s="23"/>
    </row>
    <row r="217" spans="1:11" ht="19.5" x14ac:dyDescent="0.25">
      <c r="A217" s="218"/>
      <c r="B217" s="218"/>
      <c r="C217" s="168"/>
      <c r="D217" s="165"/>
      <c r="E217" s="165"/>
      <c r="F217" s="165"/>
      <c r="G217" s="24">
        <v>2024</v>
      </c>
      <c r="H217" s="25">
        <f>J217</f>
        <v>325.61430164999996</v>
      </c>
      <c r="I217" s="26" t="s">
        <v>19</v>
      </c>
      <c r="J217" s="68">
        <f>285877.35*1.139/1000</f>
        <v>325.61430164999996</v>
      </c>
      <c r="K217" s="69">
        <f>J217*1.099</f>
        <v>357.85011751334997</v>
      </c>
    </row>
    <row r="218" spans="1:11" ht="51" x14ac:dyDescent="0.25">
      <c r="A218" s="218"/>
      <c r="B218" s="218"/>
      <c r="C218" s="168"/>
      <c r="D218" s="165"/>
      <c r="E218" s="165"/>
      <c r="F218" s="165"/>
      <c r="G218" s="24">
        <v>2025</v>
      </c>
      <c r="H218" s="25">
        <f>K217</f>
        <v>357.85011751334997</v>
      </c>
      <c r="I218" s="26" t="s">
        <v>32</v>
      </c>
      <c r="J218" s="56">
        <v>1</v>
      </c>
      <c r="K218" s="57">
        <v>1</v>
      </c>
    </row>
    <row r="219" spans="1:11" ht="25.5" x14ac:dyDescent="0.25">
      <c r="A219" s="218"/>
      <c r="B219" s="218"/>
      <c r="C219" s="168"/>
      <c r="D219" s="165"/>
      <c r="E219" s="165"/>
      <c r="F219" s="165"/>
      <c r="G219" s="24"/>
      <c r="H219" s="25"/>
      <c r="I219" s="26" t="s">
        <v>55</v>
      </c>
      <c r="J219" s="70">
        <f>J217/J218</f>
        <v>325.61430164999996</v>
      </c>
      <c r="K219" s="71">
        <f>K217/K218</f>
        <v>357.85011751334997</v>
      </c>
    </row>
    <row r="220" spans="1:11" ht="20.25" thickBot="1" x14ac:dyDescent="0.3">
      <c r="A220" s="218"/>
      <c r="B220" s="218"/>
      <c r="C220" s="169"/>
      <c r="D220" s="166"/>
      <c r="E220" s="166"/>
      <c r="F220" s="166"/>
      <c r="G220" s="51"/>
      <c r="H220" s="52"/>
      <c r="I220" s="60" t="s">
        <v>51</v>
      </c>
      <c r="J220" s="61">
        <v>1</v>
      </c>
      <c r="K220" s="62">
        <v>1</v>
      </c>
    </row>
    <row r="221" spans="1:11" ht="19.5" customHeight="1" x14ac:dyDescent="0.25">
      <c r="A221" s="218"/>
      <c r="B221" s="218"/>
      <c r="C221" s="167" t="s">
        <v>133</v>
      </c>
      <c r="D221" s="164" t="s">
        <v>12</v>
      </c>
      <c r="E221" s="164" t="s">
        <v>52</v>
      </c>
      <c r="F221" s="164" t="s">
        <v>13</v>
      </c>
      <c r="G221" s="19" t="s">
        <v>14</v>
      </c>
      <c r="H221" s="20">
        <f>H222+H223</f>
        <v>141927.14552242812</v>
      </c>
      <c r="I221" s="21"/>
      <c r="J221" s="22"/>
      <c r="K221" s="23"/>
    </row>
    <row r="222" spans="1:11" ht="19.5" x14ac:dyDescent="0.25">
      <c r="A222" s="218"/>
      <c r="B222" s="218"/>
      <c r="C222" s="168"/>
      <c r="D222" s="165"/>
      <c r="E222" s="165"/>
      <c r="F222" s="165"/>
      <c r="G222" s="24">
        <v>2024</v>
      </c>
      <c r="H222" s="25">
        <f>J222</f>
        <v>65972.730328279999</v>
      </c>
      <c r="I222" s="26" t="s">
        <v>19</v>
      </c>
      <c r="J222" s="68">
        <f>1.139*57921624.52/1000</f>
        <v>65972.730328279999</v>
      </c>
      <c r="K222" s="69">
        <f>60678048.92*1.139*1.099/1000</f>
        <v>75954.415194148125</v>
      </c>
    </row>
    <row r="223" spans="1:11" ht="38.25" x14ac:dyDescent="0.25">
      <c r="A223" s="218"/>
      <c r="B223" s="218"/>
      <c r="C223" s="168"/>
      <c r="D223" s="165"/>
      <c r="E223" s="165"/>
      <c r="F223" s="165"/>
      <c r="G223" s="24">
        <v>2025</v>
      </c>
      <c r="H223" s="25">
        <f>K222</f>
        <v>75954.415194148125</v>
      </c>
      <c r="I223" s="26" t="s">
        <v>175</v>
      </c>
      <c r="J223" s="56">
        <v>69</v>
      </c>
      <c r="K223" s="57">
        <v>72</v>
      </c>
    </row>
    <row r="224" spans="1:11" ht="19.5" x14ac:dyDescent="0.25">
      <c r="A224" s="218"/>
      <c r="B224" s="218"/>
      <c r="C224" s="168"/>
      <c r="D224" s="165"/>
      <c r="E224" s="165"/>
      <c r="F224" s="165"/>
      <c r="G224" s="24"/>
      <c r="H224" s="25"/>
      <c r="I224" s="26" t="s">
        <v>26</v>
      </c>
      <c r="J224" s="56">
        <v>34</v>
      </c>
      <c r="K224" s="57">
        <v>36</v>
      </c>
    </row>
    <row r="225" spans="1:11" ht="19.5" x14ac:dyDescent="0.25">
      <c r="A225" s="218"/>
      <c r="B225" s="218"/>
      <c r="C225" s="168"/>
      <c r="D225" s="165"/>
      <c r="E225" s="165"/>
      <c r="F225" s="165"/>
      <c r="G225" s="24"/>
      <c r="H225" s="25"/>
      <c r="I225" s="26" t="s">
        <v>28</v>
      </c>
      <c r="J225" s="56">
        <v>35</v>
      </c>
      <c r="K225" s="57">
        <v>36</v>
      </c>
    </row>
    <row r="226" spans="1:11" ht="25.5" x14ac:dyDescent="0.25">
      <c r="A226" s="218"/>
      <c r="B226" s="218"/>
      <c r="C226" s="168"/>
      <c r="D226" s="165"/>
      <c r="E226" s="165"/>
      <c r="F226" s="165"/>
      <c r="G226" s="24"/>
      <c r="H226" s="25"/>
      <c r="I226" s="26" t="s">
        <v>55</v>
      </c>
      <c r="J226" s="70">
        <f>J222/J223</f>
        <v>956.12652649681161</v>
      </c>
      <c r="K226" s="71">
        <f>K222/K223</f>
        <v>1054.9224332520573</v>
      </c>
    </row>
    <row r="227" spans="1:11" ht="20.25" thickBot="1" x14ac:dyDescent="0.3">
      <c r="A227" s="218"/>
      <c r="B227" s="218"/>
      <c r="C227" s="169"/>
      <c r="D227" s="166"/>
      <c r="E227" s="166"/>
      <c r="F227" s="166"/>
      <c r="G227" s="51"/>
      <c r="H227" s="52"/>
      <c r="I227" s="60" t="s">
        <v>51</v>
      </c>
      <c r="J227" s="61">
        <v>1</v>
      </c>
      <c r="K227" s="62">
        <v>1</v>
      </c>
    </row>
    <row r="228" spans="1:11" ht="19.5" customHeight="1" x14ac:dyDescent="0.25">
      <c r="A228" s="218"/>
      <c r="B228" s="218"/>
      <c r="C228" s="167" t="s">
        <v>134</v>
      </c>
      <c r="D228" s="164" t="s">
        <v>12</v>
      </c>
      <c r="E228" s="164" t="s">
        <v>52</v>
      </c>
      <c r="F228" s="164" t="s">
        <v>13</v>
      </c>
      <c r="G228" s="19" t="s">
        <v>14</v>
      </c>
      <c r="H228" s="20">
        <f>H229+H230</f>
        <v>436345.48172755598</v>
      </c>
      <c r="I228" s="21"/>
      <c r="J228" s="22"/>
      <c r="K228" s="23"/>
    </row>
    <row r="229" spans="1:11" ht="19.5" x14ac:dyDescent="0.25">
      <c r="A229" s="218"/>
      <c r="B229" s="218"/>
      <c r="C229" s="168"/>
      <c r="D229" s="165"/>
      <c r="E229" s="165"/>
      <c r="F229" s="165"/>
      <c r="G229" s="24">
        <v>2024</v>
      </c>
      <c r="H229" s="25">
        <f>J229</f>
        <v>193901.12611346997</v>
      </c>
      <c r="I229" s="26" t="s">
        <v>19</v>
      </c>
      <c r="J229" s="68">
        <f>1.139*170238038.73/1000</f>
        <v>193901.12611346997</v>
      </c>
      <c r="K229" s="69">
        <f>193682624.41*1.139*1.099/1000</f>
        <v>242444.355614086</v>
      </c>
    </row>
    <row r="230" spans="1:11" ht="38.25" x14ac:dyDescent="0.25">
      <c r="A230" s="218"/>
      <c r="B230" s="218"/>
      <c r="C230" s="168"/>
      <c r="D230" s="165"/>
      <c r="E230" s="165"/>
      <c r="F230" s="165"/>
      <c r="G230" s="24">
        <v>2025</v>
      </c>
      <c r="H230" s="25">
        <f>K229</f>
        <v>242444.355614086</v>
      </c>
      <c r="I230" s="26" t="s">
        <v>176</v>
      </c>
      <c r="J230" s="56">
        <v>626</v>
      </c>
      <c r="K230" s="57">
        <v>749</v>
      </c>
    </row>
    <row r="231" spans="1:11" ht="19.5" x14ac:dyDescent="0.25">
      <c r="A231" s="218"/>
      <c r="B231" s="218"/>
      <c r="C231" s="168"/>
      <c r="D231" s="165"/>
      <c r="E231" s="165"/>
      <c r="F231" s="165"/>
      <c r="G231" s="24"/>
      <c r="H231" s="25"/>
      <c r="I231" s="26" t="s">
        <v>26</v>
      </c>
      <c r="J231" s="56">
        <v>310</v>
      </c>
      <c r="K231" s="57">
        <v>360</v>
      </c>
    </row>
    <row r="232" spans="1:11" ht="19.5" x14ac:dyDescent="0.25">
      <c r="A232" s="218"/>
      <c r="B232" s="218"/>
      <c r="C232" s="168"/>
      <c r="D232" s="165"/>
      <c r="E232" s="165"/>
      <c r="F232" s="165"/>
      <c r="G232" s="24"/>
      <c r="H232" s="25"/>
      <c r="I232" s="26" t="s">
        <v>28</v>
      </c>
      <c r="J232" s="56">
        <v>316</v>
      </c>
      <c r="K232" s="57">
        <f>K230-K231</f>
        <v>389</v>
      </c>
    </row>
    <row r="233" spans="1:11" ht="25.5" x14ac:dyDescent="0.25">
      <c r="A233" s="218"/>
      <c r="B233" s="218"/>
      <c r="C233" s="168"/>
      <c r="D233" s="165"/>
      <c r="E233" s="165"/>
      <c r="F233" s="165"/>
      <c r="G233" s="24"/>
      <c r="H233" s="25"/>
      <c r="I233" s="26" t="s">
        <v>94</v>
      </c>
      <c r="J233" s="70">
        <f>J229/J230</f>
        <v>309.74620784899355</v>
      </c>
      <c r="K233" s="71">
        <f>K229/K230</f>
        <v>323.69072845672366</v>
      </c>
    </row>
    <row r="234" spans="1:11" ht="20.25" thickBot="1" x14ac:dyDescent="0.3">
      <c r="A234" s="218"/>
      <c r="B234" s="218"/>
      <c r="C234" s="169"/>
      <c r="D234" s="166"/>
      <c r="E234" s="166"/>
      <c r="F234" s="166"/>
      <c r="G234" s="51"/>
      <c r="H234" s="52"/>
      <c r="I234" s="60" t="s">
        <v>51</v>
      </c>
      <c r="J234" s="61">
        <v>1</v>
      </c>
      <c r="K234" s="62">
        <v>1</v>
      </c>
    </row>
    <row r="235" spans="1:11" ht="19.5" customHeight="1" x14ac:dyDescent="0.25">
      <c r="A235" s="218"/>
      <c r="B235" s="218"/>
      <c r="C235" s="167" t="s">
        <v>191</v>
      </c>
      <c r="D235" s="164" t="s">
        <v>12</v>
      </c>
      <c r="E235" s="164" t="s">
        <v>52</v>
      </c>
      <c r="F235" s="164" t="s">
        <v>13</v>
      </c>
      <c r="G235" s="19" t="s">
        <v>14</v>
      </c>
      <c r="H235" s="20">
        <f>H236+H237</f>
        <v>32311.739777532996</v>
      </c>
      <c r="I235" s="21"/>
      <c r="J235" s="22"/>
      <c r="K235" s="23"/>
    </row>
    <row r="236" spans="1:11" ht="19.5" x14ac:dyDescent="0.25">
      <c r="A236" s="218"/>
      <c r="B236" s="218"/>
      <c r="C236" s="168"/>
      <c r="D236" s="165"/>
      <c r="E236" s="165"/>
      <c r="F236" s="165"/>
      <c r="G236" s="24">
        <v>2024</v>
      </c>
      <c r="H236" s="25">
        <f>J236</f>
        <v>15393.873167</v>
      </c>
      <c r="I236" s="26" t="s">
        <v>18</v>
      </c>
      <c r="J236" s="68">
        <f>13515253*1.139/1000</f>
        <v>15393.873167</v>
      </c>
      <c r="K236" s="69">
        <f>J236*1.099</f>
        <v>16917.866610532998</v>
      </c>
    </row>
    <row r="237" spans="1:11" ht="38.25" x14ac:dyDescent="0.25">
      <c r="A237" s="218"/>
      <c r="B237" s="218"/>
      <c r="C237" s="168"/>
      <c r="D237" s="165"/>
      <c r="E237" s="165"/>
      <c r="F237" s="165"/>
      <c r="G237" s="24">
        <v>2025</v>
      </c>
      <c r="H237" s="25">
        <f>K236</f>
        <v>16917.866610532998</v>
      </c>
      <c r="I237" s="26" t="s">
        <v>83</v>
      </c>
      <c r="J237" s="56">
        <v>100</v>
      </c>
      <c r="K237" s="57">
        <v>100</v>
      </c>
    </row>
    <row r="238" spans="1:11" ht="25.5" x14ac:dyDescent="0.25">
      <c r="A238" s="218"/>
      <c r="B238" s="218"/>
      <c r="C238" s="168"/>
      <c r="D238" s="165"/>
      <c r="E238" s="165"/>
      <c r="F238" s="165"/>
      <c r="G238" s="24"/>
      <c r="H238" s="25"/>
      <c r="I238" s="26" t="s">
        <v>16</v>
      </c>
      <c r="J238" s="70">
        <f>J236/J237</f>
        <v>153.93873167000001</v>
      </c>
      <c r="K238" s="71">
        <f>K236/K237</f>
        <v>169.17866610532997</v>
      </c>
    </row>
    <row r="239" spans="1:11" ht="20.25" thickBot="1" x14ac:dyDescent="0.3">
      <c r="A239" s="218"/>
      <c r="B239" s="218"/>
      <c r="C239" s="169"/>
      <c r="D239" s="166"/>
      <c r="E239" s="166"/>
      <c r="F239" s="166"/>
      <c r="G239" s="51"/>
      <c r="H239" s="52"/>
      <c r="I239" s="60" t="s">
        <v>51</v>
      </c>
      <c r="J239" s="61">
        <v>1</v>
      </c>
      <c r="K239" s="62">
        <v>1</v>
      </c>
    </row>
    <row r="240" spans="1:11" ht="19.5" x14ac:dyDescent="0.25">
      <c r="A240" s="218"/>
      <c r="B240" s="218"/>
      <c r="C240" s="167" t="s">
        <v>192</v>
      </c>
      <c r="D240" s="164" t="s">
        <v>12</v>
      </c>
      <c r="E240" s="164" t="s">
        <v>52</v>
      </c>
      <c r="F240" s="164" t="s">
        <v>13</v>
      </c>
      <c r="G240" s="19" t="s">
        <v>14</v>
      </c>
      <c r="H240" s="20">
        <f>H241+H242</f>
        <v>2236229.2706931974</v>
      </c>
      <c r="I240" s="21"/>
      <c r="J240" s="22"/>
      <c r="K240" s="23"/>
    </row>
    <row r="241" spans="1:11" ht="19.5" x14ac:dyDescent="0.25">
      <c r="A241" s="218"/>
      <c r="B241" s="218"/>
      <c r="C241" s="168"/>
      <c r="D241" s="165"/>
      <c r="E241" s="165"/>
      <c r="F241" s="165"/>
      <c r="G241" s="24">
        <v>2024</v>
      </c>
      <c r="H241" s="25">
        <f>J241</f>
        <v>984784.46095286997</v>
      </c>
      <c r="I241" s="26" t="s">
        <v>19</v>
      </c>
      <c r="J241" s="68">
        <f>1.139*864604443.33/1000</f>
        <v>984784.46095286997</v>
      </c>
      <c r="K241" s="69">
        <f>999747403.65*1.139*1.099/1000</f>
        <v>1251444.8097403275</v>
      </c>
    </row>
    <row r="242" spans="1:11" ht="38.25" x14ac:dyDescent="0.25">
      <c r="A242" s="218"/>
      <c r="B242" s="218"/>
      <c r="C242" s="168"/>
      <c r="D242" s="165"/>
      <c r="E242" s="165"/>
      <c r="F242" s="165"/>
      <c r="G242" s="24">
        <v>2025</v>
      </c>
      <c r="H242" s="25">
        <f>K241</f>
        <v>1251444.8097403275</v>
      </c>
      <c r="I242" s="26" t="s">
        <v>101</v>
      </c>
      <c r="J242" s="56">
        <v>338</v>
      </c>
      <c r="K242" s="57">
        <v>354</v>
      </c>
    </row>
    <row r="243" spans="1:11" ht="25.5" x14ac:dyDescent="0.25">
      <c r="A243" s="218"/>
      <c r="B243" s="218"/>
      <c r="C243" s="168"/>
      <c r="D243" s="165"/>
      <c r="E243" s="165"/>
      <c r="F243" s="165"/>
      <c r="G243" s="24"/>
      <c r="H243" s="25"/>
      <c r="I243" s="26" t="s">
        <v>94</v>
      </c>
      <c r="J243" s="70">
        <f>J241/J242</f>
        <v>2913.5634939434021</v>
      </c>
      <c r="K243" s="71">
        <f>K241/K242</f>
        <v>3535.1548297749364</v>
      </c>
    </row>
    <row r="244" spans="1:11" ht="20.25" thickBot="1" x14ac:dyDescent="0.3">
      <c r="A244" s="218"/>
      <c r="B244" s="218"/>
      <c r="C244" s="169"/>
      <c r="D244" s="166"/>
      <c r="E244" s="166"/>
      <c r="F244" s="166"/>
      <c r="G244" s="51"/>
      <c r="H244" s="52"/>
      <c r="I244" s="60" t="s">
        <v>51</v>
      </c>
      <c r="J244" s="61">
        <v>1</v>
      </c>
      <c r="K244" s="62">
        <v>1</v>
      </c>
    </row>
    <row r="245" spans="1:11" ht="19.5" customHeight="1" x14ac:dyDescent="0.25">
      <c r="A245" s="218"/>
      <c r="B245" s="218"/>
      <c r="C245" s="167" t="s">
        <v>193</v>
      </c>
      <c r="D245" s="164" t="s">
        <v>12</v>
      </c>
      <c r="E245" s="164" t="s">
        <v>52</v>
      </c>
      <c r="F245" s="164" t="s">
        <v>13</v>
      </c>
      <c r="G245" s="19" t="s">
        <v>14</v>
      </c>
      <c r="H245" s="20">
        <f>H246+H247</f>
        <v>48064.184287495998</v>
      </c>
      <c r="I245" s="21"/>
      <c r="J245" s="22"/>
      <c r="K245" s="23"/>
    </row>
    <row r="246" spans="1:11" ht="19.5" x14ac:dyDescent="0.25">
      <c r="A246" s="218"/>
      <c r="B246" s="218"/>
      <c r="C246" s="168"/>
      <c r="D246" s="165"/>
      <c r="E246" s="165"/>
      <c r="F246" s="165"/>
      <c r="G246" s="24">
        <v>2024</v>
      </c>
      <c r="H246" s="25">
        <f>J246</f>
        <v>22898.610903999997</v>
      </c>
      <c r="I246" s="26" t="s">
        <v>19</v>
      </c>
      <c r="J246" s="68">
        <f>32*65*9665.45*1.139/1000</f>
        <v>22898.610903999997</v>
      </c>
      <c r="K246" s="69">
        <f>J246*1.099</f>
        <v>25165.573383495997</v>
      </c>
    </row>
    <row r="247" spans="1:11" ht="47.25" customHeight="1" x14ac:dyDescent="0.25">
      <c r="A247" s="218"/>
      <c r="B247" s="218"/>
      <c r="C247" s="168"/>
      <c r="D247" s="165"/>
      <c r="E247" s="165"/>
      <c r="F247" s="165"/>
      <c r="G247" s="24">
        <v>2025</v>
      </c>
      <c r="H247" s="25">
        <f>K246</f>
        <v>25165.573383495997</v>
      </c>
      <c r="I247" s="26" t="s">
        <v>73</v>
      </c>
      <c r="J247" s="56">
        <v>65</v>
      </c>
      <c r="K247" s="57">
        <v>65</v>
      </c>
    </row>
    <row r="248" spans="1:11" ht="26.25" customHeight="1" x14ac:dyDescent="0.25">
      <c r="A248" s="218"/>
      <c r="B248" s="218"/>
      <c r="C248" s="168"/>
      <c r="D248" s="165"/>
      <c r="E248" s="165"/>
      <c r="F248" s="165"/>
      <c r="G248" s="24"/>
      <c r="H248" s="25"/>
      <c r="I248" s="26" t="s">
        <v>55</v>
      </c>
      <c r="J248" s="70">
        <f>J246/J247</f>
        <v>352.28632159999995</v>
      </c>
      <c r="K248" s="71">
        <f>K246/K247</f>
        <v>387.16266743839998</v>
      </c>
    </row>
    <row r="249" spans="1:11" ht="20.25" thickBot="1" x14ac:dyDescent="0.3">
      <c r="A249" s="218"/>
      <c r="B249" s="218"/>
      <c r="C249" s="169"/>
      <c r="D249" s="166"/>
      <c r="E249" s="166"/>
      <c r="F249" s="166"/>
      <c r="G249" s="51"/>
      <c r="H249" s="52"/>
      <c r="I249" s="60" t="s">
        <v>51</v>
      </c>
      <c r="J249" s="61">
        <v>1</v>
      </c>
      <c r="K249" s="62">
        <v>1</v>
      </c>
    </row>
    <row r="250" spans="1:11" ht="19.5" customHeight="1" x14ac:dyDescent="0.25">
      <c r="A250" s="218"/>
      <c r="B250" s="218"/>
      <c r="C250" s="167" t="s">
        <v>194</v>
      </c>
      <c r="D250" s="164" t="s">
        <v>12</v>
      </c>
      <c r="E250" s="164" t="s">
        <v>52</v>
      </c>
      <c r="F250" s="164" t="s">
        <v>13</v>
      </c>
      <c r="G250" s="19" t="s">
        <v>14</v>
      </c>
      <c r="H250" s="20">
        <f>H251+H252</f>
        <v>7800.8224345635008</v>
      </c>
      <c r="I250" s="21"/>
      <c r="J250" s="22"/>
      <c r="K250" s="23"/>
    </row>
    <row r="251" spans="1:11" ht="19.5" x14ac:dyDescent="0.25">
      <c r="A251" s="218"/>
      <c r="B251" s="218"/>
      <c r="C251" s="168"/>
      <c r="D251" s="165"/>
      <c r="E251" s="165"/>
      <c r="F251" s="165"/>
      <c r="G251" s="24">
        <v>2024</v>
      </c>
      <c r="H251" s="25">
        <f>J251</f>
        <v>3716.4470865000003</v>
      </c>
      <c r="I251" s="26" t="s">
        <v>19</v>
      </c>
      <c r="J251" s="68">
        <f>150*21752.69*1.139/1000</f>
        <v>3716.4470865000003</v>
      </c>
      <c r="K251" s="69">
        <f>J251*1.099</f>
        <v>4084.3753480635</v>
      </c>
    </row>
    <row r="252" spans="1:11" ht="38.25" x14ac:dyDescent="0.25">
      <c r="A252" s="218"/>
      <c r="B252" s="218"/>
      <c r="C252" s="168"/>
      <c r="D252" s="165"/>
      <c r="E252" s="165"/>
      <c r="F252" s="165"/>
      <c r="G252" s="24">
        <v>2025</v>
      </c>
      <c r="H252" s="25">
        <f>K251</f>
        <v>4084.3753480635</v>
      </c>
      <c r="I252" s="26" t="s">
        <v>97</v>
      </c>
      <c r="J252" s="56">
        <v>150</v>
      </c>
      <c r="K252" s="57">
        <v>150</v>
      </c>
    </row>
    <row r="253" spans="1:11" ht="25.5" x14ac:dyDescent="0.25">
      <c r="A253" s="218"/>
      <c r="B253" s="218"/>
      <c r="C253" s="168"/>
      <c r="D253" s="165"/>
      <c r="E253" s="165"/>
      <c r="F253" s="165"/>
      <c r="G253" s="24"/>
      <c r="H253" s="25"/>
      <c r="I253" s="26" t="s">
        <v>55</v>
      </c>
      <c r="J253" s="70">
        <f>J251/J252</f>
        <v>24.776313910000002</v>
      </c>
      <c r="K253" s="71">
        <f>K251/K252</f>
        <v>27.229168987089999</v>
      </c>
    </row>
    <row r="254" spans="1:11" ht="20.25" thickBot="1" x14ac:dyDescent="0.3">
      <c r="A254" s="218"/>
      <c r="B254" s="218"/>
      <c r="C254" s="169"/>
      <c r="D254" s="166"/>
      <c r="E254" s="166"/>
      <c r="F254" s="166"/>
      <c r="G254" s="51"/>
      <c r="H254" s="52"/>
      <c r="I254" s="60" t="s">
        <v>51</v>
      </c>
      <c r="J254" s="61">
        <v>1</v>
      </c>
      <c r="K254" s="62">
        <v>1</v>
      </c>
    </row>
    <row r="255" spans="1:11" ht="19.5" customHeight="1" x14ac:dyDescent="0.25">
      <c r="A255" s="218"/>
      <c r="B255" s="218"/>
      <c r="C255" s="167" t="s">
        <v>195</v>
      </c>
      <c r="D255" s="164" t="s">
        <v>12</v>
      </c>
      <c r="E255" s="164" t="s">
        <v>52</v>
      </c>
      <c r="F255" s="164" t="s">
        <v>13</v>
      </c>
      <c r="G255" s="19" t="s">
        <v>14</v>
      </c>
      <c r="H255" s="20">
        <f>H256+H257</f>
        <v>12656.7930809792</v>
      </c>
      <c r="I255" s="21"/>
      <c r="J255" s="22"/>
      <c r="K255" s="23"/>
    </row>
    <row r="256" spans="1:11" ht="19.5" x14ac:dyDescent="0.25">
      <c r="A256" s="218"/>
      <c r="B256" s="218"/>
      <c r="C256" s="168"/>
      <c r="D256" s="165"/>
      <c r="E256" s="165"/>
      <c r="F256" s="165"/>
      <c r="G256" s="24">
        <v>2024</v>
      </c>
      <c r="H256" s="25">
        <f>J256</f>
        <v>6956.3896503999995</v>
      </c>
      <c r="I256" s="26" t="s">
        <v>19</v>
      </c>
      <c r="J256" s="68">
        <f>6107453.6*1.139/1000</f>
        <v>6956.3896503999995</v>
      </c>
      <c r="K256" s="69">
        <f>4553907.2*1.139*1.099/1000</f>
        <v>5700.4034305792002</v>
      </c>
    </row>
    <row r="257" spans="1:11" ht="43.5" customHeight="1" x14ac:dyDescent="0.25">
      <c r="A257" s="218"/>
      <c r="B257" s="218"/>
      <c r="C257" s="168"/>
      <c r="D257" s="165"/>
      <c r="E257" s="165"/>
      <c r="F257" s="165"/>
      <c r="G257" s="24">
        <v>2025</v>
      </c>
      <c r="H257" s="25">
        <f>K256</f>
        <v>5700.4034305792002</v>
      </c>
      <c r="I257" s="26" t="s">
        <v>27</v>
      </c>
      <c r="J257" s="56">
        <v>1331</v>
      </c>
      <c r="K257" s="57">
        <v>1021</v>
      </c>
    </row>
    <row r="258" spans="1:11" ht="19.5" x14ac:dyDescent="0.25">
      <c r="A258" s="218"/>
      <c r="B258" s="218"/>
      <c r="C258" s="168"/>
      <c r="D258" s="165"/>
      <c r="E258" s="165"/>
      <c r="F258" s="165"/>
      <c r="G258" s="24"/>
      <c r="H258" s="25"/>
      <c r="I258" s="26" t="s">
        <v>26</v>
      </c>
      <c r="J258" s="56">
        <v>851</v>
      </c>
      <c r="K258" s="57">
        <v>612</v>
      </c>
    </row>
    <row r="259" spans="1:11" ht="19.5" x14ac:dyDescent="0.25">
      <c r="A259" s="218"/>
      <c r="B259" s="218"/>
      <c r="C259" s="168"/>
      <c r="D259" s="165"/>
      <c r="E259" s="165"/>
      <c r="F259" s="165"/>
      <c r="G259" s="24"/>
      <c r="H259" s="25"/>
      <c r="I259" s="26" t="s">
        <v>28</v>
      </c>
      <c r="J259" s="56">
        <f>J257-J258</f>
        <v>480</v>
      </c>
      <c r="K259" s="57">
        <f>K257-K258</f>
        <v>409</v>
      </c>
    </row>
    <row r="260" spans="1:11" ht="25.5" x14ac:dyDescent="0.25">
      <c r="A260" s="218"/>
      <c r="B260" s="218"/>
      <c r="C260" s="168"/>
      <c r="D260" s="165"/>
      <c r="E260" s="165"/>
      <c r="F260" s="165"/>
      <c r="G260" s="24"/>
      <c r="H260" s="25"/>
      <c r="I260" s="26" t="s">
        <v>55</v>
      </c>
      <c r="J260" s="70">
        <f>J256/J257</f>
        <v>5.2264385051840714</v>
      </c>
      <c r="K260" s="71">
        <f>K256/K257</f>
        <v>5.5831571308317338</v>
      </c>
    </row>
    <row r="261" spans="1:11" ht="19.5" hidden="1" customHeight="1" x14ac:dyDescent="0.25">
      <c r="A261" s="218"/>
      <c r="B261" s="218"/>
      <c r="C261" s="168"/>
      <c r="D261" s="165"/>
      <c r="E261" s="165"/>
      <c r="F261" s="165"/>
      <c r="G261" s="24"/>
      <c r="H261" s="25"/>
      <c r="I261" s="26" t="s">
        <v>26</v>
      </c>
      <c r="J261" s="70">
        <f>J256/J258*J258/J257</f>
        <v>5.2264385051840714</v>
      </c>
      <c r="K261" s="71">
        <f>K256/K258*K258/K257</f>
        <v>5.5831571308317338</v>
      </c>
    </row>
    <row r="262" spans="1:11" ht="19.5" hidden="1" customHeight="1" thickBot="1" x14ac:dyDescent="0.3">
      <c r="A262" s="218"/>
      <c r="B262" s="218"/>
      <c r="C262" s="168"/>
      <c r="D262" s="165"/>
      <c r="E262" s="165"/>
      <c r="F262" s="165"/>
      <c r="G262" s="24"/>
      <c r="H262" s="25"/>
      <c r="I262" s="26" t="s">
        <v>28</v>
      </c>
      <c r="J262" s="70">
        <f>J256/J259*J259/J257</f>
        <v>5.2264385051840714</v>
      </c>
      <c r="K262" s="71">
        <f>K256/K259*K259/K257</f>
        <v>5.5831571308317338</v>
      </c>
    </row>
    <row r="263" spans="1:11" ht="20.25" thickBot="1" x14ac:dyDescent="0.3">
      <c r="A263" s="218"/>
      <c r="B263" s="218"/>
      <c r="C263" s="169"/>
      <c r="D263" s="166"/>
      <c r="E263" s="166"/>
      <c r="F263" s="166"/>
      <c r="G263" s="51"/>
      <c r="H263" s="52"/>
      <c r="I263" s="60" t="s">
        <v>51</v>
      </c>
      <c r="J263" s="61">
        <v>1</v>
      </c>
      <c r="K263" s="62">
        <v>1</v>
      </c>
    </row>
    <row r="264" spans="1:11" ht="19.5" x14ac:dyDescent="0.25">
      <c r="A264" s="218"/>
      <c r="B264" s="218"/>
      <c r="C264" s="167" t="s">
        <v>196</v>
      </c>
      <c r="D264" s="164" t="s">
        <v>12</v>
      </c>
      <c r="E264" s="164" t="s">
        <v>52</v>
      </c>
      <c r="F264" s="164" t="s">
        <v>13</v>
      </c>
      <c r="G264" s="19" t="s">
        <v>14</v>
      </c>
      <c r="H264" s="20">
        <f>H265+H266</f>
        <v>665869.28674999997</v>
      </c>
      <c r="I264" s="21"/>
      <c r="J264" s="22"/>
      <c r="K264" s="23"/>
    </row>
    <row r="265" spans="1:11" ht="19.5" x14ac:dyDescent="0.25">
      <c r="A265" s="218"/>
      <c r="B265" s="218"/>
      <c r="C265" s="168"/>
      <c r="D265" s="165"/>
      <c r="E265" s="165"/>
      <c r="F265" s="165"/>
      <c r="G265" s="24">
        <v>2024</v>
      </c>
      <c r="H265" s="25">
        <f>J265</f>
        <v>305360.71777999995</v>
      </c>
      <c r="I265" s="26" t="s">
        <v>19</v>
      </c>
      <c r="J265" s="68">
        <f>305360717.78/1000</f>
        <v>305360.71777999995</v>
      </c>
      <c r="K265" s="69">
        <f>360508568.97/1000</f>
        <v>360508.56897000002</v>
      </c>
    </row>
    <row r="266" spans="1:11" ht="51" x14ac:dyDescent="0.25">
      <c r="A266" s="218"/>
      <c r="B266" s="218"/>
      <c r="C266" s="168"/>
      <c r="D266" s="165"/>
      <c r="E266" s="165"/>
      <c r="F266" s="165"/>
      <c r="G266" s="24">
        <v>2025</v>
      </c>
      <c r="H266" s="25">
        <f>K265</f>
        <v>360508.56897000002</v>
      </c>
      <c r="I266" s="26" t="s">
        <v>40</v>
      </c>
      <c r="J266" s="56">
        <v>528</v>
      </c>
      <c r="K266" s="57">
        <v>532</v>
      </c>
    </row>
    <row r="267" spans="1:11" ht="25.5" x14ac:dyDescent="0.25">
      <c r="A267" s="218"/>
      <c r="B267" s="218"/>
      <c r="C267" s="168"/>
      <c r="D267" s="165"/>
      <c r="E267" s="165"/>
      <c r="F267" s="165"/>
      <c r="G267" s="24"/>
      <c r="H267" s="25"/>
      <c r="I267" s="26" t="s">
        <v>16</v>
      </c>
      <c r="J267" s="70">
        <f>J265/J266</f>
        <v>578.33469276515143</v>
      </c>
      <c r="K267" s="71">
        <f>K265/K266</f>
        <v>677.64768603383459</v>
      </c>
    </row>
    <row r="268" spans="1:11" ht="27" customHeight="1" thickBot="1" x14ac:dyDescent="0.3">
      <c r="A268" s="218"/>
      <c r="B268" s="218"/>
      <c r="C268" s="169"/>
      <c r="D268" s="166"/>
      <c r="E268" s="166"/>
      <c r="F268" s="166"/>
      <c r="G268" s="51"/>
      <c r="H268" s="52"/>
      <c r="I268" s="60" t="s">
        <v>51</v>
      </c>
      <c r="J268" s="61">
        <v>1</v>
      </c>
      <c r="K268" s="62">
        <v>1</v>
      </c>
    </row>
    <row r="269" spans="1:11" ht="19.5" x14ac:dyDescent="0.25">
      <c r="A269" s="218"/>
      <c r="B269" s="218"/>
      <c r="C269" s="167" t="s">
        <v>197</v>
      </c>
      <c r="D269" s="164" t="s">
        <v>12</v>
      </c>
      <c r="E269" s="164" t="s">
        <v>52</v>
      </c>
      <c r="F269" s="164" t="s">
        <v>13</v>
      </c>
      <c r="G269" s="19" t="s">
        <v>14</v>
      </c>
      <c r="H269" s="20">
        <f>H270+H271</f>
        <v>2804025.9414951997</v>
      </c>
      <c r="I269" s="21"/>
      <c r="J269" s="22"/>
      <c r="K269" s="23"/>
    </row>
    <row r="270" spans="1:11" ht="19.5" x14ac:dyDescent="0.25">
      <c r="A270" s="218"/>
      <c r="B270" s="218"/>
      <c r="C270" s="168"/>
      <c r="D270" s="165"/>
      <c r="E270" s="165"/>
      <c r="F270" s="165"/>
      <c r="G270" s="24">
        <v>2024</v>
      </c>
      <c r="H270" s="25">
        <f>J270</f>
        <v>1335886.5847999998</v>
      </c>
      <c r="I270" s="26" t="s">
        <v>19</v>
      </c>
      <c r="J270" s="68">
        <f>1335886584.8/1000</f>
        <v>1335886.5847999998</v>
      </c>
      <c r="K270" s="69">
        <f>J270*1.099</f>
        <v>1468139.3566951999</v>
      </c>
    </row>
    <row r="271" spans="1:11" ht="38.25" x14ac:dyDescent="0.25">
      <c r="A271" s="218"/>
      <c r="B271" s="218"/>
      <c r="C271" s="168"/>
      <c r="D271" s="165"/>
      <c r="E271" s="165"/>
      <c r="F271" s="165"/>
      <c r="G271" s="24">
        <v>2025</v>
      </c>
      <c r="H271" s="25">
        <f>K270</f>
        <v>1468139.3566951999</v>
      </c>
      <c r="I271" s="26" t="s">
        <v>103</v>
      </c>
      <c r="J271" s="56">
        <v>1573</v>
      </c>
      <c r="K271" s="57">
        <v>1573</v>
      </c>
    </row>
    <row r="272" spans="1:11" ht="25.5" x14ac:dyDescent="0.25">
      <c r="A272" s="218"/>
      <c r="B272" s="218"/>
      <c r="C272" s="168"/>
      <c r="D272" s="165"/>
      <c r="E272" s="165"/>
      <c r="F272" s="165"/>
      <c r="G272" s="24"/>
      <c r="H272" s="25"/>
      <c r="I272" s="26" t="s">
        <v>94</v>
      </c>
      <c r="J272" s="70">
        <f>J270/J271</f>
        <v>849.26038448823897</v>
      </c>
      <c r="K272" s="71">
        <f>K270/K271</f>
        <v>933.33716255257457</v>
      </c>
    </row>
    <row r="273" spans="1:11" ht="20.25" thickBot="1" x14ac:dyDescent="0.3">
      <c r="A273" s="218"/>
      <c r="B273" s="218"/>
      <c r="C273" s="169"/>
      <c r="D273" s="166"/>
      <c r="E273" s="166"/>
      <c r="F273" s="166"/>
      <c r="G273" s="51"/>
      <c r="H273" s="52"/>
      <c r="I273" s="60" t="s">
        <v>51</v>
      </c>
      <c r="J273" s="61">
        <v>1</v>
      </c>
      <c r="K273" s="62">
        <v>1</v>
      </c>
    </row>
    <row r="274" spans="1:11" ht="19.5" customHeight="1" x14ac:dyDescent="0.25">
      <c r="A274" s="218"/>
      <c r="B274" s="218"/>
      <c r="C274" s="167" t="s">
        <v>135</v>
      </c>
      <c r="D274" s="164" t="s">
        <v>12</v>
      </c>
      <c r="E274" s="164" t="s">
        <v>52</v>
      </c>
      <c r="F274" s="164" t="s">
        <v>13</v>
      </c>
      <c r="G274" s="19" t="s">
        <v>14</v>
      </c>
      <c r="H274" s="20">
        <f>H275+H276</f>
        <v>57156.831716179993</v>
      </c>
      <c r="I274" s="21"/>
      <c r="J274" s="22"/>
      <c r="K274" s="23"/>
    </row>
    <row r="275" spans="1:11" ht="19.5" x14ac:dyDescent="0.25">
      <c r="A275" s="218"/>
      <c r="B275" s="218"/>
      <c r="C275" s="168"/>
      <c r="D275" s="165"/>
      <c r="E275" s="165"/>
      <c r="F275" s="165"/>
      <c r="G275" s="24">
        <v>2024</v>
      </c>
      <c r="H275" s="25">
        <f>J275</f>
        <v>27230.505819999998</v>
      </c>
      <c r="I275" s="26" t="s">
        <v>19</v>
      </c>
      <c r="J275" s="68">
        <f>23907380*1.139/1000</f>
        <v>27230.505819999998</v>
      </c>
      <c r="K275" s="69">
        <f>J275*1.099</f>
        <v>29926.325896179998</v>
      </c>
    </row>
    <row r="276" spans="1:11" ht="19.5" x14ac:dyDescent="0.25">
      <c r="A276" s="218"/>
      <c r="B276" s="218"/>
      <c r="C276" s="168"/>
      <c r="D276" s="165"/>
      <c r="E276" s="165"/>
      <c r="F276" s="165"/>
      <c r="G276" s="24">
        <v>2025</v>
      </c>
      <c r="H276" s="25">
        <f>K275</f>
        <v>29926.325896179998</v>
      </c>
      <c r="I276" s="26" t="s">
        <v>25</v>
      </c>
      <c r="J276" s="54"/>
      <c r="K276" s="55"/>
    </row>
    <row r="277" spans="1:11" ht="25.5" x14ac:dyDescent="0.25">
      <c r="A277" s="218"/>
      <c r="B277" s="218"/>
      <c r="C277" s="168"/>
      <c r="D277" s="165"/>
      <c r="E277" s="165"/>
      <c r="F277" s="165"/>
      <c r="G277" s="24"/>
      <c r="H277" s="25"/>
      <c r="I277" s="26" t="s">
        <v>68</v>
      </c>
      <c r="J277" s="72">
        <v>29300</v>
      </c>
      <c r="K277" s="73">
        <v>29300</v>
      </c>
    </row>
    <row r="278" spans="1:11" ht="19.5" x14ac:dyDescent="0.25">
      <c r="A278" s="218"/>
      <c r="B278" s="218"/>
      <c r="C278" s="168"/>
      <c r="D278" s="165"/>
      <c r="E278" s="165"/>
      <c r="F278" s="165"/>
      <c r="G278" s="24"/>
      <c r="H278" s="25"/>
      <c r="I278" s="26" t="s">
        <v>66</v>
      </c>
      <c r="J278" s="72">
        <f>J281/J280*J277</f>
        <v>20284.615384615383</v>
      </c>
      <c r="K278" s="72">
        <v>20285</v>
      </c>
    </row>
    <row r="279" spans="1:11" ht="19.5" x14ac:dyDescent="0.25">
      <c r="A279" s="218"/>
      <c r="B279" s="218"/>
      <c r="C279" s="168"/>
      <c r="D279" s="165"/>
      <c r="E279" s="165"/>
      <c r="F279" s="165"/>
      <c r="G279" s="24"/>
      <c r="H279" s="25"/>
      <c r="I279" s="26" t="s">
        <v>67</v>
      </c>
      <c r="J279" s="72">
        <f>J277-J278</f>
        <v>9015.3846153846171</v>
      </c>
      <c r="K279" s="72">
        <f>K277-K278</f>
        <v>9015</v>
      </c>
    </row>
    <row r="280" spans="1:11" ht="38.25" x14ac:dyDescent="0.25">
      <c r="A280" s="218"/>
      <c r="B280" s="218"/>
      <c r="C280" s="168"/>
      <c r="D280" s="165"/>
      <c r="E280" s="165"/>
      <c r="F280" s="165"/>
      <c r="G280" s="56"/>
      <c r="H280" s="74"/>
      <c r="I280" s="26" t="s">
        <v>69</v>
      </c>
      <c r="J280" s="56">
        <v>650</v>
      </c>
      <c r="K280" s="57">
        <v>650</v>
      </c>
    </row>
    <row r="281" spans="1:11" x14ac:dyDescent="0.25">
      <c r="A281" s="218"/>
      <c r="B281" s="218"/>
      <c r="C281" s="168"/>
      <c r="D281" s="165"/>
      <c r="E281" s="165"/>
      <c r="F281" s="165"/>
      <c r="G281" s="56"/>
      <c r="H281" s="74"/>
      <c r="I281" s="26" t="s">
        <v>66</v>
      </c>
      <c r="J281" s="54">
        <v>450</v>
      </c>
      <c r="K281" s="54">
        <v>450</v>
      </c>
    </row>
    <row r="282" spans="1:11" x14ac:dyDescent="0.25">
      <c r="A282" s="218"/>
      <c r="B282" s="218"/>
      <c r="C282" s="168"/>
      <c r="D282" s="165"/>
      <c r="E282" s="165"/>
      <c r="F282" s="165"/>
      <c r="G282" s="56"/>
      <c r="H282" s="74"/>
      <c r="I282" s="26" t="s">
        <v>67</v>
      </c>
      <c r="J282" s="54">
        <v>200</v>
      </c>
      <c r="K282" s="54">
        <v>200</v>
      </c>
    </row>
    <row r="283" spans="1:11" ht="57.75" customHeight="1" x14ac:dyDescent="0.25">
      <c r="A283" s="218"/>
      <c r="B283" s="218"/>
      <c r="C283" s="168"/>
      <c r="D283" s="165"/>
      <c r="E283" s="165"/>
      <c r="F283" s="165"/>
      <c r="G283" s="24"/>
      <c r="H283" s="25"/>
      <c r="I283" s="26" t="s">
        <v>98</v>
      </c>
      <c r="J283" s="70">
        <f>J275/(J277+J280)</f>
        <v>0.9091988587646076</v>
      </c>
      <c r="K283" s="71">
        <f>K275/(K277+K280)</f>
        <v>0.99920954578230381</v>
      </c>
    </row>
    <row r="284" spans="1:11" ht="20.25" thickBot="1" x14ac:dyDescent="0.3">
      <c r="A284" s="218"/>
      <c r="B284" s="218"/>
      <c r="C284" s="169"/>
      <c r="D284" s="166"/>
      <c r="E284" s="166"/>
      <c r="F284" s="166"/>
      <c r="G284" s="51"/>
      <c r="H284" s="52"/>
      <c r="I284" s="60" t="s">
        <v>51</v>
      </c>
      <c r="J284" s="61">
        <v>1</v>
      </c>
      <c r="K284" s="62">
        <v>1</v>
      </c>
    </row>
    <row r="285" spans="1:11" ht="19.5" customHeight="1" x14ac:dyDescent="0.25">
      <c r="A285" s="218"/>
      <c r="B285" s="218"/>
      <c r="C285" s="167" t="s">
        <v>136</v>
      </c>
      <c r="D285" s="164" t="s">
        <v>12</v>
      </c>
      <c r="E285" s="164" t="s">
        <v>52</v>
      </c>
      <c r="F285" s="164" t="s">
        <v>13</v>
      </c>
      <c r="G285" s="19" t="s">
        <v>14</v>
      </c>
      <c r="H285" s="20">
        <f>H286+H287</f>
        <v>20355.741206500286</v>
      </c>
      <c r="I285" s="21"/>
      <c r="J285" s="22"/>
      <c r="K285" s="23"/>
    </row>
    <row r="286" spans="1:11" ht="19.5" x14ac:dyDescent="0.25">
      <c r="A286" s="218"/>
      <c r="B286" s="218"/>
      <c r="C286" s="168"/>
      <c r="D286" s="165"/>
      <c r="E286" s="165"/>
      <c r="F286" s="165"/>
      <c r="G286" s="24">
        <v>2024</v>
      </c>
      <c r="H286" s="25">
        <f>J286</f>
        <v>9697.8281117200022</v>
      </c>
      <c r="I286" s="26" t="s">
        <v>19</v>
      </c>
      <c r="J286" s="68">
        <f>8514335.48*1.139/1000</f>
        <v>9697.8281117200022</v>
      </c>
      <c r="K286" s="69">
        <f>J286*1.099</f>
        <v>10657.913094780282</v>
      </c>
    </row>
    <row r="287" spans="1:11" ht="38.25" x14ac:dyDescent="0.25">
      <c r="A287" s="218"/>
      <c r="B287" s="218"/>
      <c r="C287" s="168"/>
      <c r="D287" s="165"/>
      <c r="E287" s="165"/>
      <c r="F287" s="165"/>
      <c r="G287" s="24">
        <v>2025</v>
      </c>
      <c r="H287" s="25">
        <f>K286</f>
        <v>10657.913094780282</v>
      </c>
      <c r="I287" s="26" t="s">
        <v>99</v>
      </c>
      <c r="J287" s="56">
        <v>1220</v>
      </c>
      <c r="K287" s="57">
        <v>1220</v>
      </c>
    </row>
    <row r="288" spans="1:11" ht="25.5" x14ac:dyDescent="0.25">
      <c r="A288" s="218"/>
      <c r="B288" s="218"/>
      <c r="C288" s="168"/>
      <c r="D288" s="165"/>
      <c r="E288" s="165"/>
      <c r="F288" s="165"/>
      <c r="G288" s="24"/>
      <c r="H288" s="25"/>
      <c r="I288" s="26" t="s">
        <v>55</v>
      </c>
      <c r="J288" s="70">
        <f>J286/J287</f>
        <v>7.9490394358360676</v>
      </c>
      <c r="K288" s="71">
        <f>K286/K287</f>
        <v>8.7359943399838382</v>
      </c>
    </row>
    <row r="289" spans="1:11" ht="20.25" thickBot="1" x14ac:dyDescent="0.3">
      <c r="A289" s="218"/>
      <c r="B289" s="218"/>
      <c r="C289" s="169"/>
      <c r="D289" s="166"/>
      <c r="E289" s="166"/>
      <c r="F289" s="166"/>
      <c r="G289" s="51"/>
      <c r="H289" s="52"/>
      <c r="I289" s="60" t="s">
        <v>51</v>
      </c>
      <c r="J289" s="61">
        <v>1</v>
      </c>
      <c r="K289" s="62">
        <v>1</v>
      </c>
    </row>
    <row r="290" spans="1:11" s="7" customFormat="1" ht="19.5" customHeight="1" x14ac:dyDescent="0.25">
      <c r="A290" s="218"/>
      <c r="B290" s="218"/>
      <c r="C290" s="173" t="s">
        <v>151</v>
      </c>
      <c r="D290" s="176" t="s">
        <v>12</v>
      </c>
      <c r="E290" s="176" t="s">
        <v>52</v>
      </c>
      <c r="F290" s="176" t="s">
        <v>13</v>
      </c>
      <c r="G290" s="119" t="s">
        <v>14</v>
      </c>
      <c r="H290" s="120">
        <f>H291+H292</f>
        <v>853901.25721227913</v>
      </c>
      <c r="I290" s="121"/>
      <c r="J290" s="122"/>
      <c r="K290" s="123"/>
    </row>
    <row r="291" spans="1:11" s="7" customFormat="1" ht="19.5" x14ac:dyDescent="0.25">
      <c r="A291" s="218"/>
      <c r="B291" s="218"/>
      <c r="C291" s="174"/>
      <c r="D291" s="177"/>
      <c r="E291" s="177"/>
      <c r="F291" s="177"/>
      <c r="G291" s="124">
        <v>2024</v>
      </c>
      <c r="H291" s="125">
        <f>J291</f>
        <v>353253.66222659999</v>
      </c>
      <c r="I291" s="126" t="s">
        <v>19</v>
      </c>
      <c r="J291" s="127">
        <f>310143689.4*1.139/1000</f>
        <v>353253.66222659999</v>
      </c>
      <c r="K291" s="128">
        <f>399954619.92*1.139*1.099/1000</f>
        <v>500647.59498567908</v>
      </c>
    </row>
    <row r="292" spans="1:11" s="7" customFormat="1" ht="84" customHeight="1" x14ac:dyDescent="0.25">
      <c r="A292" s="218"/>
      <c r="B292" s="218"/>
      <c r="C292" s="174"/>
      <c r="D292" s="177"/>
      <c r="E292" s="177"/>
      <c r="F292" s="177"/>
      <c r="G292" s="124">
        <v>2025</v>
      </c>
      <c r="H292" s="125">
        <f>K291</f>
        <v>500647.59498567908</v>
      </c>
      <c r="I292" s="126" t="s">
        <v>21</v>
      </c>
      <c r="J292" s="129">
        <v>1001</v>
      </c>
      <c r="K292" s="130">
        <v>1295</v>
      </c>
    </row>
    <row r="293" spans="1:11" s="7" customFormat="1" ht="25.5" x14ac:dyDescent="0.25">
      <c r="A293" s="218"/>
      <c r="B293" s="218"/>
      <c r="C293" s="174"/>
      <c r="D293" s="177"/>
      <c r="E293" s="177"/>
      <c r="F293" s="177"/>
      <c r="G293" s="124"/>
      <c r="H293" s="125"/>
      <c r="I293" s="126" t="s">
        <v>94</v>
      </c>
      <c r="J293" s="131">
        <f>J291/J292</f>
        <v>352.90076146513485</v>
      </c>
      <c r="K293" s="132">
        <f>K291/K292</f>
        <v>386.60045944840084</v>
      </c>
    </row>
    <row r="294" spans="1:11" s="7" customFormat="1" ht="20.25" thickBot="1" x14ac:dyDescent="0.3">
      <c r="A294" s="218"/>
      <c r="B294" s="218"/>
      <c r="C294" s="175"/>
      <c r="D294" s="178"/>
      <c r="E294" s="178"/>
      <c r="F294" s="178"/>
      <c r="G294" s="133"/>
      <c r="H294" s="134"/>
      <c r="I294" s="135" t="s">
        <v>51</v>
      </c>
      <c r="J294" s="136">
        <v>1</v>
      </c>
      <c r="K294" s="137">
        <v>1</v>
      </c>
    </row>
    <row r="295" spans="1:11" s="7" customFormat="1" ht="19.5" customHeight="1" x14ac:dyDescent="0.25">
      <c r="A295" s="218"/>
      <c r="B295" s="218"/>
      <c r="C295" s="167" t="s">
        <v>152</v>
      </c>
      <c r="D295" s="164" t="s">
        <v>12</v>
      </c>
      <c r="E295" s="164" t="s">
        <v>52</v>
      </c>
      <c r="F295" s="164" t="s">
        <v>13</v>
      </c>
      <c r="G295" s="19" t="s">
        <v>14</v>
      </c>
      <c r="H295" s="20">
        <f>H296+H297</f>
        <v>220861.52146265519</v>
      </c>
      <c r="I295" s="21"/>
      <c r="J295" s="22"/>
      <c r="K295" s="23"/>
    </row>
    <row r="296" spans="1:11" s="7" customFormat="1" ht="19.5" x14ac:dyDescent="0.25">
      <c r="A296" s="218"/>
      <c r="B296" s="218"/>
      <c r="C296" s="168"/>
      <c r="D296" s="165"/>
      <c r="E296" s="165"/>
      <c r="F296" s="165"/>
      <c r="G296" s="24">
        <v>2024</v>
      </c>
      <c r="H296" s="25">
        <f>J296</f>
        <v>91348.290908999988</v>
      </c>
      <c r="I296" s="26" t="s">
        <v>19</v>
      </c>
      <c r="J296" s="68">
        <f>80200431*1.139/1000</f>
        <v>91348.290908999988</v>
      </c>
      <c r="K296" s="69">
        <f>103464823.2*1.139*1.099/1000</f>
        <v>129513.2305536552</v>
      </c>
    </row>
    <row r="297" spans="1:11" s="7" customFormat="1" ht="63.75" x14ac:dyDescent="0.25">
      <c r="A297" s="218"/>
      <c r="B297" s="218"/>
      <c r="C297" s="168"/>
      <c r="D297" s="165"/>
      <c r="E297" s="165"/>
      <c r="F297" s="165"/>
      <c r="G297" s="24">
        <v>2025</v>
      </c>
      <c r="H297" s="25">
        <f>K296</f>
        <v>129513.2305536552</v>
      </c>
      <c r="I297" s="26" t="s">
        <v>140</v>
      </c>
      <c r="J297" s="56">
        <v>600</v>
      </c>
      <c r="K297" s="57">
        <v>777</v>
      </c>
    </row>
    <row r="298" spans="1:11" s="7" customFormat="1" ht="25.5" x14ac:dyDescent="0.25">
      <c r="A298" s="218"/>
      <c r="B298" s="218"/>
      <c r="C298" s="168"/>
      <c r="D298" s="165"/>
      <c r="E298" s="165"/>
      <c r="F298" s="165"/>
      <c r="G298" s="24"/>
      <c r="H298" s="25"/>
      <c r="I298" s="26" t="s">
        <v>55</v>
      </c>
      <c r="J298" s="70">
        <f>J296/J297</f>
        <v>152.24715151499998</v>
      </c>
      <c r="K298" s="71">
        <f>K296/K297</f>
        <v>166.68369440624866</v>
      </c>
    </row>
    <row r="299" spans="1:11" s="7" customFormat="1" ht="20.25" thickBot="1" x14ac:dyDescent="0.3">
      <c r="A299" s="218"/>
      <c r="B299" s="218"/>
      <c r="C299" s="169"/>
      <c r="D299" s="166"/>
      <c r="E299" s="166"/>
      <c r="F299" s="166"/>
      <c r="G299" s="51"/>
      <c r="H299" s="52"/>
      <c r="I299" s="60" t="s">
        <v>51</v>
      </c>
      <c r="J299" s="61">
        <v>1</v>
      </c>
      <c r="K299" s="62">
        <v>1</v>
      </c>
    </row>
    <row r="300" spans="1:11" s="7" customFormat="1" ht="19.5" customHeight="1" x14ac:dyDescent="0.25">
      <c r="A300" s="218"/>
      <c r="B300" s="218"/>
      <c r="C300" s="173" t="s">
        <v>153</v>
      </c>
      <c r="D300" s="176" t="s">
        <v>12</v>
      </c>
      <c r="E300" s="176" t="s">
        <v>52</v>
      </c>
      <c r="F300" s="176" t="s">
        <v>13</v>
      </c>
      <c r="G300" s="119" t="s">
        <v>14</v>
      </c>
      <c r="H300" s="120">
        <f>H301+H302</f>
        <v>63873.985301615743</v>
      </c>
      <c r="I300" s="121"/>
      <c r="J300" s="122"/>
      <c r="K300" s="123"/>
    </row>
    <row r="301" spans="1:11" s="7" customFormat="1" ht="19.5" x14ac:dyDescent="0.25">
      <c r="A301" s="218"/>
      <c r="B301" s="218"/>
      <c r="C301" s="174"/>
      <c r="D301" s="177"/>
      <c r="E301" s="177"/>
      <c r="F301" s="177"/>
      <c r="G301" s="124">
        <v>2024</v>
      </c>
      <c r="H301" s="125">
        <f>J301</f>
        <v>26610.415563180002</v>
      </c>
      <c r="I301" s="126" t="s">
        <v>19</v>
      </c>
      <c r="J301" s="127">
        <f>23362963.62*1.139/1000</f>
        <v>26610.415563180002</v>
      </c>
      <c r="K301" s="128">
        <f>29768917.34*1.139*1.099/1000</f>
        <v>37263.569738435741</v>
      </c>
    </row>
    <row r="302" spans="1:11" s="7" customFormat="1" ht="72" customHeight="1" x14ac:dyDescent="0.25">
      <c r="A302" s="218"/>
      <c r="B302" s="218"/>
      <c r="C302" s="174"/>
      <c r="D302" s="177"/>
      <c r="E302" s="177"/>
      <c r="F302" s="177"/>
      <c r="G302" s="124">
        <v>2025</v>
      </c>
      <c r="H302" s="125">
        <f>K301</f>
        <v>37263.569738435741</v>
      </c>
      <c r="I302" s="126" t="s">
        <v>95</v>
      </c>
      <c r="J302" s="129">
        <v>1294</v>
      </c>
      <c r="K302" s="130">
        <v>1648</v>
      </c>
    </row>
    <row r="303" spans="1:11" s="7" customFormat="1" ht="25.5" x14ac:dyDescent="0.25">
      <c r="A303" s="218"/>
      <c r="B303" s="218"/>
      <c r="C303" s="174"/>
      <c r="D303" s="177"/>
      <c r="E303" s="177"/>
      <c r="F303" s="177"/>
      <c r="G303" s="124"/>
      <c r="H303" s="125"/>
      <c r="I303" s="126" t="s">
        <v>96</v>
      </c>
      <c r="J303" s="131">
        <f>J301/J302</f>
        <v>20.564463340942815</v>
      </c>
      <c r="K303" s="132">
        <f>K301/K302</f>
        <v>22.611389404390618</v>
      </c>
    </row>
    <row r="304" spans="1:11" s="7" customFormat="1" ht="28.5" customHeight="1" thickBot="1" x14ac:dyDescent="0.3">
      <c r="A304" s="218"/>
      <c r="B304" s="218"/>
      <c r="C304" s="175"/>
      <c r="D304" s="178"/>
      <c r="E304" s="178"/>
      <c r="F304" s="178"/>
      <c r="G304" s="133"/>
      <c r="H304" s="134"/>
      <c r="I304" s="135" t="s">
        <v>51</v>
      </c>
      <c r="J304" s="136">
        <v>1</v>
      </c>
      <c r="K304" s="137">
        <v>1</v>
      </c>
    </row>
    <row r="305" spans="1:11" ht="19.5" customHeight="1" x14ac:dyDescent="0.25">
      <c r="A305" s="218"/>
      <c r="B305" s="218"/>
      <c r="C305" s="167" t="s">
        <v>154</v>
      </c>
      <c r="D305" s="164" t="s">
        <v>12</v>
      </c>
      <c r="E305" s="164" t="s">
        <v>52</v>
      </c>
      <c r="F305" s="164" t="s">
        <v>13</v>
      </c>
      <c r="G305" s="19" t="s">
        <v>14</v>
      </c>
      <c r="H305" s="20">
        <f>H306+H307</f>
        <v>101190.9033264624</v>
      </c>
      <c r="I305" s="21"/>
      <c r="J305" s="22"/>
      <c r="K305" s="23"/>
    </row>
    <row r="306" spans="1:11" ht="19.5" x14ac:dyDescent="0.25">
      <c r="A306" s="218"/>
      <c r="B306" s="218"/>
      <c r="C306" s="168"/>
      <c r="D306" s="165"/>
      <c r="E306" s="165"/>
      <c r="F306" s="165"/>
      <c r="G306" s="24">
        <v>2024</v>
      </c>
      <c r="H306" s="25">
        <f>J306</f>
        <v>43639.340748000002</v>
      </c>
      <c r="I306" s="26" t="s">
        <v>19</v>
      </c>
      <c r="J306" s="68">
        <f>38313732*1.139/1000</f>
        <v>43639.340748000002</v>
      </c>
      <c r="K306" s="69">
        <f>45976478.4*1.139*1.099/1000</f>
        <v>57551.562578462399</v>
      </c>
    </row>
    <row r="307" spans="1:11" ht="108.75" customHeight="1" x14ac:dyDescent="0.25">
      <c r="A307" s="218"/>
      <c r="B307" s="218"/>
      <c r="C307" s="168"/>
      <c r="D307" s="165"/>
      <c r="E307" s="165"/>
      <c r="F307" s="165"/>
      <c r="G307" s="24">
        <v>2025</v>
      </c>
      <c r="H307" s="25">
        <f>K306</f>
        <v>57551.562578462399</v>
      </c>
      <c r="I307" s="26" t="s">
        <v>22</v>
      </c>
      <c r="J307" s="56">
        <v>1671</v>
      </c>
      <c r="K307" s="57">
        <v>2032</v>
      </c>
    </row>
    <row r="308" spans="1:11" ht="25.5" x14ac:dyDescent="0.25">
      <c r="A308" s="218"/>
      <c r="B308" s="218"/>
      <c r="C308" s="168"/>
      <c r="D308" s="165"/>
      <c r="E308" s="165"/>
      <c r="F308" s="165"/>
      <c r="G308" s="24"/>
      <c r="H308" s="25"/>
      <c r="I308" s="26" t="s">
        <v>23</v>
      </c>
      <c r="J308" s="70">
        <f>J306/J307</f>
        <v>26.115703619389588</v>
      </c>
      <c r="K308" s="71">
        <f>K306/K307</f>
        <v>28.322619379164568</v>
      </c>
    </row>
    <row r="309" spans="1:11" ht="20.25" thickBot="1" x14ac:dyDescent="0.3">
      <c r="A309" s="218"/>
      <c r="B309" s="218"/>
      <c r="C309" s="169"/>
      <c r="D309" s="166"/>
      <c r="E309" s="166"/>
      <c r="F309" s="166"/>
      <c r="G309" s="51"/>
      <c r="H309" s="52"/>
      <c r="I309" s="60" t="s">
        <v>51</v>
      </c>
      <c r="J309" s="61">
        <v>1</v>
      </c>
      <c r="K309" s="62">
        <v>1</v>
      </c>
    </row>
    <row r="310" spans="1:11" ht="19.5" customHeight="1" x14ac:dyDescent="0.25">
      <c r="A310" s="218"/>
      <c r="B310" s="218"/>
      <c r="C310" s="167" t="s">
        <v>155</v>
      </c>
      <c r="D310" s="164" t="s">
        <v>12</v>
      </c>
      <c r="E310" s="164" t="s">
        <v>52</v>
      </c>
      <c r="F310" s="164" t="s">
        <v>13</v>
      </c>
      <c r="G310" s="19" t="s">
        <v>14</v>
      </c>
      <c r="H310" s="20">
        <f>H311+H312</f>
        <v>41790.606583628862</v>
      </c>
      <c r="I310" s="21"/>
      <c r="J310" s="22"/>
      <c r="K310" s="23"/>
    </row>
    <row r="311" spans="1:11" ht="19.5" x14ac:dyDescent="0.25">
      <c r="A311" s="218"/>
      <c r="B311" s="218"/>
      <c r="C311" s="168"/>
      <c r="D311" s="165"/>
      <c r="E311" s="165"/>
      <c r="F311" s="165"/>
      <c r="G311" s="24">
        <v>2024</v>
      </c>
      <c r="H311" s="25">
        <f>J311</f>
        <v>17144.920512000001</v>
      </c>
      <c r="I311" s="26" t="s">
        <v>19</v>
      </c>
      <c r="J311" s="68">
        <f>15052608*1.139/1000</f>
        <v>17144.920512000001</v>
      </c>
      <c r="K311" s="69">
        <f>19688811.26*1.139*1.099/1000</f>
        <v>24645.686071628861</v>
      </c>
    </row>
    <row r="312" spans="1:11" ht="84" customHeight="1" x14ac:dyDescent="0.25">
      <c r="A312" s="218"/>
      <c r="B312" s="218"/>
      <c r="C312" s="168"/>
      <c r="D312" s="165"/>
      <c r="E312" s="165"/>
      <c r="F312" s="165"/>
      <c r="G312" s="24">
        <v>2025</v>
      </c>
      <c r="H312" s="25">
        <f>K311</f>
        <v>24645.686071628861</v>
      </c>
      <c r="I312" s="26" t="s">
        <v>141</v>
      </c>
      <c r="J312" s="56">
        <v>500</v>
      </c>
      <c r="K312" s="57">
        <v>654</v>
      </c>
    </row>
    <row r="313" spans="1:11" ht="25.5" x14ac:dyDescent="0.25">
      <c r="A313" s="218"/>
      <c r="B313" s="218"/>
      <c r="C313" s="168"/>
      <c r="D313" s="165"/>
      <c r="E313" s="165"/>
      <c r="F313" s="165"/>
      <c r="G313" s="24"/>
      <c r="H313" s="25"/>
      <c r="I313" s="26" t="s">
        <v>55</v>
      </c>
      <c r="J313" s="70">
        <f>J311/J312</f>
        <v>34.289841024000005</v>
      </c>
      <c r="K313" s="71">
        <f>K311/K312</f>
        <v>37.684535277719974</v>
      </c>
    </row>
    <row r="314" spans="1:11" ht="20.25" thickBot="1" x14ac:dyDescent="0.3">
      <c r="A314" s="218"/>
      <c r="B314" s="218"/>
      <c r="C314" s="169"/>
      <c r="D314" s="166"/>
      <c r="E314" s="166"/>
      <c r="F314" s="166"/>
      <c r="G314" s="51"/>
      <c r="H314" s="52"/>
      <c r="I314" s="60" t="s">
        <v>51</v>
      </c>
      <c r="J314" s="61">
        <v>1</v>
      </c>
      <c r="K314" s="62">
        <v>1</v>
      </c>
    </row>
    <row r="315" spans="1:11" ht="19.5" customHeight="1" x14ac:dyDescent="0.25">
      <c r="A315" s="218"/>
      <c r="B315" s="218"/>
      <c r="C315" s="167" t="s">
        <v>157</v>
      </c>
      <c r="D315" s="164" t="s">
        <v>12</v>
      </c>
      <c r="E315" s="164" t="s">
        <v>52</v>
      </c>
      <c r="F315" s="164" t="s">
        <v>13</v>
      </c>
      <c r="G315" s="19" t="s">
        <v>14</v>
      </c>
      <c r="H315" s="20">
        <f>H316+H317</f>
        <v>14012.931343</v>
      </c>
      <c r="I315" s="21"/>
      <c r="J315" s="22"/>
      <c r="K315" s="23"/>
    </row>
    <row r="316" spans="1:11" ht="19.5" x14ac:dyDescent="0.25">
      <c r="A316" s="218"/>
      <c r="B316" s="218"/>
      <c r="C316" s="168"/>
      <c r="D316" s="165"/>
      <c r="E316" s="165"/>
      <c r="F316" s="165"/>
      <c r="G316" s="24">
        <v>2024</v>
      </c>
      <c r="H316" s="25">
        <f>J316</f>
        <v>6673.8566000000001</v>
      </c>
      <c r="I316" s="26" t="s">
        <v>19</v>
      </c>
      <c r="J316" s="68">
        <f>5859400*1.139/1000</f>
        <v>6673.8566000000001</v>
      </c>
      <c r="K316" s="69">
        <f>5863000*1.139*1.099/1000</f>
        <v>7339.0747430000001</v>
      </c>
    </row>
    <row r="317" spans="1:11" ht="38.25" x14ac:dyDescent="0.25">
      <c r="A317" s="218"/>
      <c r="B317" s="218"/>
      <c r="C317" s="168"/>
      <c r="D317" s="165"/>
      <c r="E317" s="165"/>
      <c r="F317" s="165"/>
      <c r="G317" s="24">
        <v>2025</v>
      </c>
      <c r="H317" s="25">
        <f>K316</f>
        <v>7339.0747430000001</v>
      </c>
      <c r="I317" s="26" t="s">
        <v>100</v>
      </c>
      <c r="J317" s="56">
        <v>811</v>
      </c>
      <c r="K317" s="57">
        <v>565</v>
      </c>
    </row>
    <row r="318" spans="1:11" ht="19.5" x14ac:dyDescent="0.25">
      <c r="A318" s="218"/>
      <c r="B318" s="218"/>
      <c r="C318" s="168"/>
      <c r="D318" s="165"/>
      <c r="E318" s="165"/>
      <c r="F318" s="165"/>
      <c r="G318" s="24"/>
      <c r="H318" s="25"/>
      <c r="I318" s="26" t="s">
        <v>26</v>
      </c>
      <c r="J318" s="56">
        <v>286</v>
      </c>
      <c r="K318" s="57">
        <v>278</v>
      </c>
    </row>
    <row r="319" spans="1:11" ht="19.5" x14ac:dyDescent="0.25">
      <c r="A319" s="218"/>
      <c r="B319" s="218"/>
      <c r="C319" s="168"/>
      <c r="D319" s="165"/>
      <c r="E319" s="165"/>
      <c r="F319" s="165"/>
      <c r="G319" s="24"/>
      <c r="H319" s="25"/>
      <c r="I319" s="26" t="s">
        <v>28</v>
      </c>
      <c r="J319" s="56">
        <f>J317-J318</f>
        <v>525</v>
      </c>
      <c r="K319" s="57">
        <f>K317-K318</f>
        <v>287</v>
      </c>
    </row>
    <row r="320" spans="1:11" ht="25.5" x14ac:dyDescent="0.25">
      <c r="A320" s="218"/>
      <c r="B320" s="218"/>
      <c r="C320" s="168"/>
      <c r="D320" s="165"/>
      <c r="E320" s="165"/>
      <c r="F320" s="165"/>
      <c r="G320" s="24"/>
      <c r="H320" s="25"/>
      <c r="I320" s="26" t="s">
        <v>55</v>
      </c>
      <c r="J320" s="70">
        <f>J316/J317</f>
        <v>8.2291696670776826</v>
      </c>
      <c r="K320" s="71">
        <f>K316/K317</f>
        <v>12.989512819469027</v>
      </c>
    </row>
    <row r="321" spans="1:11" ht="20.25" thickBot="1" x14ac:dyDescent="0.3">
      <c r="A321" s="218"/>
      <c r="B321" s="218"/>
      <c r="C321" s="169"/>
      <c r="D321" s="166"/>
      <c r="E321" s="166"/>
      <c r="F321" s="166"/>
      <c r="G321" s="51"/>
      <c r="H321" s="52"/>
      <c r="I321" s="60" t="s">
        <v>51</v>
      </c>
      <c r="J321" s="61">
        <v>1</v>
      </c>
      <c r="K321" s="62">
        <v>1</v>
      </c>
    </row>
    <row r="322" spans="1:11" ht="19.5" customHeight="1" x14ac:dyDescent="0.25">
      <c r="A322" s="218"/>
      <c r="B322" s="218"/>
      <c r="C322" s="167" t="s">
        <v>156</v>
      </c>
      <c r="D322" s="164" t="s">
        <v>12</v>
      </c>
      <c r="E322" s="164" t="s">
        <v>52</v>
      </c>
      <c r="F322" s="164" t="s">
        <v>13</v>
      </c>
      <c r="G322" s="19" t="s">
        <v>14</v>
      </c>
      <c r="H322" s="20">
        <f>H323+H324</f>
        <v>13213.466103999999</v>
      </c>
      <c r="I322" s="21"/>
      <c r="J322" s="22"/>
      <c r="K322" s="23"/>
    </row>
    <row r="323" spans="1:11" ht="19.5" x14ac:dyDescent="0.25">
      <c r="A323" s="218"/>
      <c r="B323" s="218"/>
      <c r="C323" s="168"/>
      <c r="D323" s="165"/>
      <c r="E323" s="165"/>
      <c r="F323" s="165"/>
      <c r="G323" s="24">
        <v>2024</v>
      </c>
      <c r="H323" s="25">
        <f>J323</f>
        <v>8877.366</v>
      </c>
      <c r="I323" s="26" t="s">
        <v>19</v>
      </c>
      <c r="J323" s="68">
        <f>7794000*1.139/1000</f>
        <v>8877.366</v>
      </c>
      <c r="K323" s="69">
        <f>3464000*1.139*1.099/1000</f>
        <v>4336.1001040000001</v>
      </c>
    </row>
    <row r="324" spans="1:11" ht="38.25" x14ac:dyDescent="0.25">
      <c r="A324" s="218"/>
      <c r="B324" s="218"/>
      <c r="C324" s="168"/>
      <c r="D324" s="165"/>
      <c r="E324" s="165"/>
      <c r="F324" s="165"/>
      <c r="G324" s="24">
        <v>2025</v>
      </c>
      <c r="H324" s="25">
        <f>K323</f>
        <v>4336.1001040000001</v>
      </c>
      <c r="I324" s="26" t="s">
        <v>30</v>
      </c>
      <c r="J324" s="56">
        <v>9</v>
      </c>
      <c r="K324" s="57">
        <v>4</v>
      </c>
    </row>
    <row r="325" spans="1:11" ht="19.5" x14ac:dyDescent="0.25">
      <c r="A325" s="218"/>
      <c r="B325" s="218"/>
      <c r="C325" s="168"/>
      <c r="D325" s="165"/>
      <c r="E325" s="165"/>
      <c r="F325" s="165"/>
      <c r="G325" s="24"/>
      <c r="H325" s="25"/>
      <c r="I325" s="26" t="s">
        <v>26</v>
      </c>
      <c r="J325" s="56">
        <v>4</v>
      </c>
      <c r="K325" s="57">
        <v>2</v>
      </c>
    </row>
    <row r="326" spans="1:11" ht="19.5" x14ac:dyDescent="0.25">
      <c r="A326" s="218"/>
      <c r="B326" s="218"/>
      <c r="C326" s="168"/>
      <c r="D326" s="165"/>
      <c r="E326" s="165"/>
      <c r="F326" s="165"/>
      <c r="G326" s="24"/>
      <c r="H326" s="25"/>
      <c r="I326" s="26" t="s">
        <v>28</v>
      </c>
      <c r="J326" s="56">
        <f>J324-J325</f>
        <v>5</v>
      </c>
      <c r="K326" s="57">
        <f>K324-K325</f>
        <v>2</v>
      </c>
    </row>
    <row r="327" spans="1:11" ht="25.5" x14ac:dyDescent="0.25">
      <c r="A327" s="218"/>
      <c r="B327" s="218"/>
      <c r="C327" s="168"/>
      <c r="D327" s="165"/>
      <c r="E327" s="165"/>
      <c r="F327" s="165"/>
      <c r="G327" s="24"/>
      <c r="H327" s="25"/>
      <c r="I327" s="26" t="s">
        <v>55</v>
      </c>
      <c r="J327" s="70">
        <f>J323/J324</f>
        <v>986.37400000000002</v>
      </c>
      <c r="K327" s="71">
        <f>K323/K324</f>
        <v>1084.025026</v>
      </c>
    </row>
    <row r="328" spans="1:11" ht="20.25" thickBot="1" x14ac:dyDescent="0.3">
      <c r="A328" s="218"/>
      <c r="B328" s="218"/>
      <c r="C328" s="169"/>
      <c r="D328" s="166"/>
      <c r="E328" s="166"/>
      <c r="F328" s="166"/>
      <c r="G328" s="51"/>
      <c r="H328" s="52"/>
      <c r="I328" s="60" t="s">
        <v>51</v>
      </c>
      <c r="J328" s="61">
        <v>1</v>
      </c>
      <c r="K328" s="62">
        <v>1</v>
      </c>
    </row>
    <row r="329" spans="1:11" ht="19.5" customHeight="1" x14ac:dyDescent="0.25">
      <c r="A329" s="218"/>
      <c r="B329" s="218"/>
      <c r="C329" s="167" t="s">
        <v>158</v>
      </c>
      <c r="D329" s="164" t="s">
        <v>12</v>
      </c>
      <c r="E329" s="164" t="s">
        <v>52</v>
      </c>
      <c r="F329" s="164" t="s">
        <v>13</v>
      </c>
      <c r="G329" s="19" t="s">
        <v>14</v>
      </c>
      <c r="H329" s="20">
        <f>H330+H331</f>
        <v>13860.273075130001</v>
      </c>
      <c r="I329" s="21"/>
      <c r="J329" s="22"/>
      <c r="K329" s="23"/>
    </row>
    <row r="330" spans="1:11" ht="19.5" x14ac:dyDescent="0.25">
      <c r="A330" s="218"/>
      <c r="B330" s="218"/>
      <c r="C330" s="168"/>
      <c r="D330" s="165"/>
      <c r="E330" s="165"/>
      <c r="F330" s="165"/>
      <c r="G330" s="24">
        <v>2024</v>
      </c>
      <c r="H330" s="25">
        <f>J330</f>
        <v>8829.0325350000003</v>
      </c>
      <c r="I330" s="26" t="s">
        <v>19</v>
      </c>
      <c r="J330" s="68">
        <f>7751565*1.139/1000</f>
        <v>8829.0325350000003</v>
      </c>
      <c r="K330" s="69">
        <f>4019330*1.139*1.099/1000</f>
        <v>5031.2405401299993</v>
      </c>
    </row>
    <row r="331" spans="1:11" ht="38.25" x14ac:dyDescent="0.25">
      <c r="A331" s="218"/>
      <c r="B331" s="218"/>
      <c r="C331" s="168"/>
      <c r="D331" s="165"/>
      <c r="E331" s="165"/>
      <c r="F331" s="165"/>
      <c r="G331" s="24">
        <v>2025</v>
      </c>
      <c r="H331" s="25">
        <f>K330</f>
        <v>5031.2405401299993</v>
      </c>
      <c r="I331" s="26" t="s">
        <v>84</v>
      </c>
      <c r="J331" s="56">
        <v>27</v>
      </c>
      <c r="K331" s="57">
        <v>14</v>
      </c>
    </row>
    <row r="332" spans="1:11" ht="19.5" x14ac:dyDescent="0.25">
      <c r="A332" s="218"/>
      <c r="B332" s="218"/>
      <c r="C332" s="168"/>
      <c r="D332" s="165"/>
      <c r="E332" s="165"/>
      <c r="F332" s="165"/>
      <c r="G332" s="24"/>
      <c r="H332" s="25"/>
      <c r="I332" s="26" t="s">
        <v>26</v>
      </c>
      <c r="J332" s="56">
        <v>14</v>
      </c>
      <c r="K332" s="57">
        <v>6</v>
      </c>
    </row>
    <row r="333" spans="1:11" ht="19.5" x14ac:dyDescent="0.25">
      <c r="A333" s="218"/>
      <c r="B333" s="218"/>
      <c r="C333" s="168"/>
      <c r="D333" s="165"/>
      <c r="E333" s="165"/>
      <c r="F333" s="165"/>
      <c r="G333" s="24"/>
      <c r="H333" s="25"/>
      <c r="I333" s="26" t="s">
        <v>28</v>
      </c>
      <c r="J333" s="56">
        <f>J331-J332</f>
        <v>13</v>
      </c>
      <c r="K333" s="57">
        <f>K331-K332</f>
        <v>8</v>
      </c>
    </row>
    <row r="334" spans="1:11" ht="25.5" x14ac:dyDescent="0.25">
      <c r="A334" s="218"/>
      <c r="B334" s="218"/>
      <c r="C334" s="168"/>
      <c r="D334" s="165"/>
      <c r="E334" s="165"/>
      <c r="F334" s="165"/>
      <c r="G334" s="24"/>
      <c r="H334" s="25"/>
      <c r="I334" s="26" t="s">
        <v>55</v>
      </c>
      <c r="J334" s="70">
        <f>J330/J331</f>
        <v>327.00120500000003</v>
      </c>
      <c r="K334" s="71">
        <f>K330/K331</f>
        <v>359.37432429499995</v>
      </c>
    </row>
    <row r="335" spans="1:11" ht="20.25" thickBot="1" x14ac:dyDescent="0.3">
      <c r="A335" s="218"/>
      <c r="B335" s="218"/>
      <c r="C335" s="169"/>
      <c r="D335" s="166"/>
      <c r="E335" s="166"/>
      <c r="F335" s="166"/>
      <c r="G335" s="51"/>
      <c r="H335" s="52"/>
      <c r="I335" s="60" t="s">
        <v>51</v>
      </c>
      <c r="J335" s="61">
        <v>1</v>
      </c>
      <c r="K335" s="62">
        <v>1</v>
      </c>
    </row>
    <row r="336" spans="1:11" ht="19.5" customHeight="1" x14ac:dyDescent="0.25">
      <c r="A336" s="218"/>
      <c r="B336" s="218"/>
      <c r="C336" s="167" t="s">
        <v>159</v>
      </c>
      <c r="D336" s="164" t="s">
        <v>12</v>
      </c>
      <c r="E336" s="164" t="s">
        <v>52</v>
      </c>
      <c r="F336" s="164" t="s">
        <v>13</v>
      </c>
      <c r="G336" s="19" t="s">
        <v>14</v>
      </c>
      <c r="H336" s="20">
        <f>H337+H338</f>
        <v>64119.205375630001</v>
      </c>
      <c r="I336" s="21"/>
      <c r="J336" s="22"/>
      <c r="K336" s="23"/>
    </row>
    <row r="337" spans="1:11" ht="19.5" x14ac:dyDescent="0.25">
      <c r="A337" s="218"/>
      <c r="B337" s="218"/>
      <c r="C337" s="168"/>
      <c r="D337" s="165"/>
      <c r="E337" s="165"/>
      <c r="F337" s="165"/>
      <c r="G337" s="24">
        <v>2024</v>
      </c>
      <c r="H337" s="25">
        <f>J337</f>
        <v>30547.501370000002</v>
      </c>
      <c r="I337" s="26" t="s">
        <v>19</v>
      </c>
      <c r="J337" s="54">
        <v>30547.501370000002</v>
      </c>
      <c r="K337" s="55">
        <f>J337*1.099</f>
        <v>33571.704005630003</v>
      </c>
    </row>
    <row r="338" spans="1:11" ht="63.75" x14ac:dyDescent="0.25">
      <c r="A338" s="218"/>
      <c r="B338" s="218"/>
      <c r="C338" s="168"/>
      <c r="D338" s="165"/>
      <c r="E338" s="165"/>
      <c r="F338" s="165"/>
      <c r="G338" s="24">
        <v>2025</v>
      </c>
      <c r="H338" s="25">
        <f>K337</f>
        <v>33571.704005630003</v>
      </c>
      <c r="I338" s="26" t="s">
        <v>165</v>
      </c>
      <c r="J338" s="56">
        <v>1576</v>
      </c>
      <c r="K338" s="57">
        <v>1576</v>
      </c>
    </row>
    <row r="339" spans="1:11" ht="25.5" x14ac:dyDescent="0.25">
      <c r="A339" s="218"/>
      <c r="B339" s="218"/>
      <c r="C339" s="168"/>
      <c r="D339" s="165"/>
      <c r="E339" s="165"/>
      <c r="F339" s="165"/>
      <c r="G339" s="24"/>
      <c r="H339" s="25"/>
      <c r="I339" s="26" t="s">
        <v>55</v>
      </c>
      <c r="J339" s="70">
        <f>J337/J338</f>
        <v>19.382932341370559</v>
      </c>
      <c r="K339" s="71">
        <f>K337/K338</f>
        <v>21.301842643166246</v>
      </c>
    </row>
    <row r="340" spans="1:11" ht="20.25" thickBot="1" x14ac:dyDescent="0.3">
      <c r="A340" s="218"/>
      <c r="B340" s="218"/>
      <c r="C340" s="169"/>
      <c r="D340" s="166"/>
      <c r="E340" s="166"/>
      <c r="F340" s="166"/>
      <c r="G340" s="51"/>
      <c r="H340" s="52"/>
      <c r="I340" s="60" t="s">
        <v>51</v>
      </c>
      <c r="J340" s="61">
        <v>1</v>
      </c>
      <c r="K340" s="62">
        <v>1</v>
      </c>
    </row>
    <row r="341" spans="1:11" ht="19.5" customHeight="1" x14ac:dyDescent="0.25">
      <c r="A341" s="218"/>
      <c r="B341" s="218"/>
      <c r="C341" s="167" t="s">
        <v>160</v>
      </c>
      <c r="D341" s="164" t="s">
        <v>12</v>
      </c>
      <c r="E341" s="164" t="s">
        <v>52</v>
      </c>
      <c r="F341" s="164" t="s">
        <v>13</v>
      </c>
      <c r="G341" s="19" t="s">
        <v>14</v>
      </c>
      <c r="H341" s="20">
        <f>H342+H343</f>
        <v>243222.8749545</v>
      </c>
      <c r="I341" s="21"/>
      <c r="J341" s="22"/>
      <c r="K341" s="23"/>
    </row>
    <row r="342" spans="1:11" ht="19.5" x14ac:dyDescent="0.25">
      <c r="A342" s="218"/>
      <c r="B342" s="218"/>
      <c r="C342" s="168"/>
      <c r="D342" s="165"/>
      <c r="E342" s="165"/>
      <c r="F342" s="165"/>
      <c r="G342" s="24">
        <v>2024</v>
      </c>
      <c r="H342" s="25">
        <f>J342</f>
        <v>115875.5955</v>
      </c>
      <c r="I342" s="26" t="s">
        <v>19</v>
      </c>
      <c r="J342" s="75">
        <f>1.139*101734500/1000</f>
        <v>115875.5955</v>
      </c>
      <c r="K342" s="76">
        <f>J342*1.099</f>
        <v>127347.27945449999</v>
      </c>
    </row>
    <row r="343" spans="1:11" ht="38.25" x14ac:dyDescent="0.25">
      <c r="A343" s="218"/>
      <c r="B343" s="218"/>
      <c r="C343" s="168"/>
      <c r="D343" s="165"/>
      <c r="E343" s="165"/>
      <c r="F343" s="165"/>
      <c r="G343" s="24">
        <v>2025</v>
      </c>
      <c r="H343" s="25">
        <f>K342</f>
        <v>127347.27945449999</v>
      </c>
      <c r="I343" s="26" t="s">
        <v>59</v>
      </c>
      <c r="J343" s="56">
        <v>2100</v>
      </c>
      <c r="K343" s="57">
        <v>2100</v>
      </c>
    </row>
    <row r="344" spans="1:11" ht="25.5" x14ac:dyDescent="0.25">
      <c r="A344" s="218"/>
      <c r="B344" s="218"/>
      <c r="C344" s="168"/>
      <c r="D344" s="165"/>
      <c r="E344" s="165"/>
      <c r="F344" s="165"/>
      <c r="G344" s="24"/>
      <c r="H344" s="25"/>
      <c r="I344" s="26" t="s">
        <v>60</v>
      </c>
      <c r="J344" s="70">
        <f>J342/J343</f>
        <v>55.178854999999999</v>
      </c>
      <c r="K344" s="71">
        <f>K342/K343</f>
        <v>60.641561644999996</v>
      </c>
    </row>
    <row r="345" spans="1:11" ht="20.25" thickBot="1" x14ac:dyDescent="0.3">
      <c r="A345" s="218"/>
      <c r="B345" s="218"/>
      <c r="C345" s="169"/>
      <c r="D345" s="166"/>
      <c r="E345" s="166"/>
      <c r="F345" s="166"/>
      <c r="G345" s="51"/>
      <c r="H345" s="52"/>
      <c r="I345" s="60" t="s">
        <v>51</v>
      </c>
      <c r="J345" s="61">
        <v>1</v>
      </c>
      <c r="K345" s="62">
        <v>1</v>
      </c>
    </row>
    <row r="346" spans="1:11" ht="19.5" customHeight="1" x14ac:dyDescent="0.25">
      <c r="A346" s="218"/>
      <c r="B346" s="218"/>
      <c r="C346" s="167" t="s">
        <v>161</v>
      </c>
      <c r="D346" s="164" t="s">
        <v>12</v>
      </c>
      <c r="E346" s="164" t="s">
        <v>52</v>
      </c>
      <c r="F346" s="164" t="s">
        <v>13</v>
      </c>
      <c r="G346" s="19" t="s">
        <v>14</v>
      </c>
      <c r="H346" s="20">
        <f>H347+H348</f>
        <v>568167.27172548545</v>
      </c>
      <c r="I346" s="21"/>
      <c r="J346" s="22"/>
      <c r="K346" s="23"/>
    </row>
    <row r="347" spans="1:11" ht="19.5" x14ac:dyDescent="0.25">
      <c r="A347" s="218"/>
      <c r="B347" s="218"/>
      <c r="C347" s="168"/>
      <c r="D347" s="165"/>
      <c r="E347" s="165"/>
      <c r="F347" s="165"/>
      <c r="G347" s="24">
        <v>2024</v>
      </c>
      <c r="H347" s="25">
        <f>J347</f>
        <v>270684.74117460003</v>
      </c>
      <c r="I347" s="26" t="s">
        <v>19</v>
      </c>
      <c r="J347" s="68">
        <f>237651221.4*1.139/1000</f>
        <v>270684.74117460003</v>
      </c>
      <c r="K347" s="69">
        <f>J347*1.099</f>
        <v>297482.53055088542</v>
      </c>
    </row>
    <row r="348" spans="1:11" ht="51" x14ac:dyDescent="0.25">
      <c r="A348" s="218"/>
      <c r="B348" s="218"/>
      <c r="C348" s="168"/>
      <c r="D348" s="165"/>
      <c r="E348" s="165"/>
      <c r="F348" s="165"/>
      <c r="G348" s="24">
        <v>2025</v>
      </c>
      <c r="H348" s="25">
        <f>K347</f>
        <v>297482.53055088542</v>
      </c>
      <c r="I348" s="26" t="s">
        <v>43</v>
      </c>
      <c r="J348" s="56">
        <v>4800</v>
      </c>
      <c r="K348" s="57">
        <v>4800</v>
      </c>
    </row>
    <row r="349" spans="1:11" ht="25.5" x14ac:dyDescent="0.25">
      <c r="A349" s="218"/>
      <c r="B349" s="218"/>
      <c r="C349" s="168"/>
      <c r="D349" s="165"/>
      <c r="E349" s="165"/>
      <c r="F349" s="165"/>
      <c r="G349" s="24"/>
      <c r="H349" s="25"/>
      <c r="I349" s="26" t="s">
        <v>55</v>
      </c>
      <c r="J349" s="70">
        <f>J347/J348</f>
        <v>56.392654411375005</v>
      </c>
      <c r="K349" s="71">
        <f>K347/K348</f>
        <v>61.975527198101126</v>
      </c>
    </row>
    <row r="350" spans="1:11" ht="20.25" thickBot="1" x14ac:dyDescent="0.3">
      <c r="A350" s="218"/>
      <c r="B350" s="218"/>
      <c r="C350" s="169"/>
      <c r="D350" s="166"/>
      <c r="E350" s="166"/>
      <c r="F350" s="166"/>
      <c r="G350" s="51"/>
      <c r="H350" s="52"/>
      <c r="I350" s="60" t="s">
        <v>51</v>
      </c>
      <c r="J350" s="61">
        <v>1</v>
      </c>
      <c r="K350" s="62">
        <v>1</v>
      </c>
    </row>
    <row r="351" spans="1:11" ht="19.5" customHeight="1" x14ac:dyDescent="0.25">
      <c r="A351" s="218"/>
      <c r="B351" s="218"/>
      <c r="C351" s="167" t="s">
        <v>162</v>
      </c>
      <c r="D351" s="164" t="s">
        <v>12</v>
      </c>
      <c r="E351" s="164" t="s">
        <v>52</v>
      </c>
      <c r="F351" s="164" t="s">
        <v>13</v>
      </c>
      <c r="G351" s="19" t="s">
        <v>14</v>
      </c>
      <c r="H351" s="20">
        <f>H352+H353</f>
        <v>89406.525757263706</v>
      </c>
      <c r="I351" s="21"/>
      <c r="J351" s="22"/>
      <c r="K351" s="23"/>
    </row>
    <row r="352" spans="1:11" ht="19.5" x14ac:dyDescent="0.25">
      <c r="A352" s="218"/>
      <c r="B352" s="218"/>
      <c r="C352" s="168"/>
      <c r="D352" s="165"/>
      <c r="E352" s="165"/>
      <c r="F352" s="165"/>
      <c r="G352" s="24">
        <v>2024</v>
      </c>
      <c r="H352" s="25">
        <f>J352</f>
        <v>39395.204301300008</v>
      </c>
      <c r="I352" s="26" t="s">
        <v>19</v>
      </c>
      <c r="J352" s="68">
        <f>34587536.7*1.139/1000</f>
        <v>39395.204301300008</v>
      </c>
      <c r="K352" s="69">
        <f>39952771.7*1.139*1.099/1000</f>
        <v>50011.321455963698</v>
      </c>
    </row>
    <row r="353" spans="1:11" ht="25.5" x14ac:dyDescent="0.25">
      <c r="A353" s="218"/>
      <c r="B353" s="218"/>
      <c r="C353" s="168"/>
      <c r="D353" s="165"/>
      <c r="E353" s="165"/>
      <c r="F353" s="165"/>
      <c r="G353" s="24">
        <v>2025</v>
      </c>
      <c r="H353" s="25">
        <f>K352</f>
        <v>50011.321455963698</v>
      </c>
      <c r="I353" s="26" t="s">
        <v>61</v>
      </c>
      <c r="J353" s="56">
        <v>295</v>
      </c>
      <c r="K353" s="57">
        <v>345</v>
      </c>
    </row>
    <row r="354" spans="1:11" ht="25.5" x14ac:dyDescent="0.25">
      <c r="A354" s="218"/>
      <c r="B354" s="218"/>
      <c r="C354" s="168"/>
      <c r="D354" s="165"/>
      <c r="E354" s="165"/>
      <c r="F354" s="165"/>
      <c r="G354" s="24"/>
      <c r="H354" s="25"/>
      <c r="I354" s="26" t="s">
        <v>94</v>
      </c>
      <c r="J354" s="70">
        <f>J352/J353</f>
        <v>133.54306542813561</v>
      </c>
      <c r="K354" s="71">
        <f>K352/K353</f>
        <v>144.96035204627159</v>
      </c>
    </row>
    <row r="355" spans="1:11" ht="20.25" thickBot="1" x14ac:dyDescent="0.3">
      <c r="A355" s="218"/>
      <c r="B355" s="218"/>
      <c r="C355" s="169"/>
      <c r="D355" s="166"/>
      <c r="E355" s="166"/>
      <c r="F355" s="166"/>
      <c r="G355" s="51"/>
      <c r="H355" s="52"/>
      <c r="I355" s="60" t="s">
        <v>51</v>
      </c>
      <c r="J355" s="61">
        <v>1</v>
      </c>
      <c r="K355" s="62">
        <v>1</v>
      </c>
    </row>
    <row r="356" spans="1:11" ht="19.5" customHeight="1" x14ac:dyDescent="0.25">
      <c r="A356" s="218"/>
      <c r="B356" s="218"/>
      <c r="C356" s="167" t="s">
        <v>163</v>
      </c>
      <c r="D356" s="164" t="s">
        <v>12</v>
      </c>
      <c r="E356" s="164" t="s">
        <v>52</v>
      </c>
      <c r="F356" s="164" t="s">
        <v>13</v>
      </c>
      <c r="G356" s="19" t="s">
        <v>14</v>
      </c>
      <c r="H356" s="20">
        <f>H357+H358</f>
        <v>465661.5431623953</v>
      </c>
      <c r="I356" s="21"/>
      <c r="J356" s="22"/>
      <c r="K356" s="23"/>
    </row>
    <row r="357" spans="1:11" ht="19.5" x14ac:dyDescent="0.25">
      <c r="A357" s="218"/>
      <c r="B357" s="218"/>
      <c r="C357" s="168"/>
      <c r="D357" s="165"/>
      <c r="E357" s="165"/>
      <c r="F357" s="165"/>
      <c r="G357" s="24">
        <v>2024</v>
      </c>
      <c r="H357" s="25">
        <f>J357</f>
        <v>221849.2344747</v>
      </c>
      <c r="I357" s="26" t="s">
        <v>19</v>
      </c>
      <c r="J357" s="68">
        <f>194775447.3*1.139/1000</f>
        <v>221849.2344747</v>
      </c>
      <c r="K357" s="69">
        <f>J357*1099/1000</f>
        <v>243812.3086876953</v>
      </c>
    </row>
    <row r="358" spans="1:11" ht="51" x14ac:dyDescent="0.25">
      <c r="A358" s="218"/>
      <c r="B358" s="218"/>
      <c r="C358" s="168"/>
      <c r="D358" s="165"/>
      <c r="E358" s="165"/>
      <c r="F358" s="165"/>
      <c r="G358" s="24">
        <v>2025</v>
      </c>
      <c r="H358" s="25">
        <f>K357</f>
        <v>243812.3086876953</v>
      </c>
      <c r="I358" s="26" t="s">
        <v>85</v>
      </c>
      <c r="J358" s="56">
        <v>1980</v>
      </c>
      <c r="K358" s="57">
        <v>1980</v>
      </c>
    </row>
    <row r="359" spans="1:11" ht="25.5" x14ac:dyDescent="0.25">
      <c r="A359" s="218"/>
      <c r="B359" s="218"/>
      <c r="C359" s="168"/>
      <c r="D359" s="165"/>
      <c r="E359" s="165"/>
      <c r="F359" s="165"/>
      <c r="G359" s="24"/>
      <c r="H359" s="25"/>
      <c r="I359" s="26" t="s">
        <v>94</v>
      </c>
      <c r="J359" s="70">
        <f>J357/J358</f>
        <v>112.04506791651515</v>
      </c>
      <c r="K359" s="71">
        <f>K357/K358</f>
        <v>123.13752964025015</v>
      </c>
    </row>
    <row r="360" spans="1:11" ht="20.25" thickBot="1" x14ac:dyDescent="0.3">
      <c r="A360" s="218"/>
      <c r="B360" s="218"/>
      <c r="C360" s="169"/>
      <c r="D360" s="166"/>
      <c r="E360" s="166"/>
      <c r="F360" s="166"/>
      <c r="G360" s="51"/>
      <c r="H360" s="52"/>
      <c r="I360" s="60" t="s">
        <v>51</v>
      </c>
      <c r="J360" s="61">
        <v>1</v>
      </c>
      <c r="K360" s="62">
        <v>1</v>
      </c>
    </row>
    <row r="361" spans="1:11" ht="19.5" customHeight="1" x14ac:dyDescent="0.25">
      <c r="A361" s="218"/>
      <c r="B361" s="218"/>
      <c r="C361" s="167" t="s">
        <v>164</v>
      </c>
      <c r="D361" s="164" t="s">
        <v>12</v>
      </c>
      <c r="E361" s="164" t="s">
        <v>52</v>
      </c>
      <c r="F361" s="164" t="s">
        <v>13</v>
      </c>
      <c r="G361" s="19" t="s">
        <v>14</v>
      </c>
      <c r="H361" s="77">
        <f>H362+H363</f>
        <v>21962.966939999998</v>
      </c>
      <c r="I361" s="78"/>
      <c r="J361" s="22"/>
      <c r="K361" s="23"/>
    </row>
    <row r="362" spans="1:11" ht="19.5" x14ac:dyDescent="0.25">
      <c r="A362" s="218"/>
      <c r="B362" s="218"/>
      <c r="C362" s="168"/>
      <c r="D362" s="165"/>
      <c r="E362" s="165"/>
      <c r="F362" s="165"/>
      <c r="G362" s="24">
        <v>2024</v>
      </c>
      <c r="H362" s="79">
        <f>J362</f>
        <v>10287.91727</v>
      </c>
      <c r="I362" s="80" t="s">
        <v>19</v>
      </c>
      <c r="J362" s="68">
        <f>10287917.27/1000</f>
        <v>10287.91727</v>
      </c>
      <c r="K362" s="69">
        <f>11675049.67/1000</f>
        <v>11675.04967</v>
      </c>
    </row>
    <row r="363" spans="1:11" ht="38.25" x14ac:dyDescent="0.25">
      <c r="A363" s="218"/>
      <c r="B363" s="218"/>
      <c r="C363" s="168"/>
      <c r="D363" s="165"/>
      <c r="E363" s="165"/>
      <c r="F363" s="165"/>
      <c r="G363" s="29">
        <v>2025</v>
      </c>
      <c r="H363" s="81">
        <f>K362</f>
        <v>11675.04967</v>
      </c>
      <c r="I363" s="80" t="s">
        <v>58</v>
      </c>
      <c r="J363" s="72">
        <v>4306</v>
      </c>
      <c r="K363" s="73">
        <v>4421</v>
      </c>
    </row>
    <row r="364" spans="1:11" ht="25.5" x14ac:dyDescent="0.25">
      <c r="A364" s="218"/>
      <c r="B364" s="218"/>
      <c r="C364" s="168"/>
      <c r="D364" s="165"/>
      <c r="E364" s="165"/>
      <c r="F364" s="165"/>
      <c r="G364" s="82"/>
      <c r="H364" s="83"/>
      <c r="I364" s="80" t="s">
        <v>16</v>
      </c>
      <c r="J364" s="70">
        <f>J362/J363</f>
        <v>2.3892051254064097</v>
      </c>
      <c r="K364" s="71">
        <f>K362/K363</f>
        <v>2.6408164826962226</v>
      </c>
    </row>
    <row r="365" spans="1:11" ht="20.25" thickBot="1" x14ac:dyDescent="0.3">
      <c r="A365" s="218"/>
      <c r="B365" s="218"/>
      <c r="C365" s="169"/>
      <c r="D365" s="166"/>
      <c r="E365" s="166"/>
      <c r="F365" s="166"/>
      <c r="G365" s="37"/>
      <c r="H365" s="84"/>
      <c r="I365" s="85" t="s">
        <v>51</v>
      </c>
      <c r="J365" s="86">
        <v>1</v>
      </c>
      <c r="K365" s="87">
        <v>1</v>
      </c>
    </row>
    <row r="366" spans="1:11" ht="19.5" x14ac:dyDescent="0.25">
      <c r="A366" s="218"/>
      <c r="B366" s="218"/>
      <c r="C366" s="173" t="s">
        <v>166</v>
      </c>
      <c r="D366" s="176" t="s">
        <v>12</v>
      </c>
      <c r="E366" s="176" t="s">
        <v>52</v>
      </c>
      <c r="F366" s="176" t="s">
        <v>13</v>
      </c>
      <c r="G366" s="119" t="s">
        <v>14</v>
      </c>
      <c r="H366" s="120">
        <f>H367+H368</f>
        <v>118505.257983327</v>
      </c>
      <c r="I366" s="121"/>
      <c r="J366" s="122"/>
      <c r="K366" s="123"/>
    </row>
    <row r="367" spans="1:11" ht="19.5" x14ac:dyDescent="0.25">
      <c r="A367" s="218"/>
      <c r="B367" s="218"/>
      <c r="C367" s="174"/>
      <c r="D367" s="177"/>
      <c r="E367" s="177"/>
      <c r="F367" s="177"/>
      <c r="G367" s="124">
        <v>2024</v>
      </c>
      <c r="H367" s="125">
        <f>J367</f>
        <v>56457.959972999997</v>
      </c>
      <c r="I367" s="126" t="s">
        <v>19</v>
      </c>
      <c r="J367" s="127">
        <f>49568007*1.139/1000</f>
        <v>56457.959972999997</v>
      </c>
      <c r="K367" s="128">
        <f>J367*1.099</f>
        <v>62047.298010326995</v>
      </c>
    </row>
    <row r="368" spans="1:11" ht="25.5" x14ac:dyDescent="0.25">
      <c r="A368" s="218"/>
      <c r="B368" s="218"/>
      <c r="C368" s="174"/>
      <c r="D368" s="177"/>
      <c r="E368" s="177"/>
      <c r="F368" s="177"/>
      <c r="G368" s="124">
        <v>2025</v>
      </c>
      <c r="H368" s="125">
        <f>K367</f>
        <v>62047.298010326995</v>
      </c>
      <c r="I368" s="126" t="s">
        <v>20</v>
      </c>
      <c r="J368" s="129">
        <v>977</v>
      </c>
      <c r="K368" s="130">
        <v>977</v>
      </c>
    </row>
    <row r="369" spans="1:11" ht="25.5" x14ac:dyDescent="0.25">
      <c r="A369" s="218"/>
      <c r="B369" s="218"/>
      <c r="C369" s="174"/>
      <c r="D369" s="177"/>
      <c r="E369" s="177"/>
      <c r="F369" s="177"/>
      <c r="G369" s="124"/>
      <c r="H369" s="125"/>
      <c r="I369" s="126" t="s">
        <v>16</v>
      </c>
      <c r="J369" s="131">
        <f>J367/J368</f>
        <v>57.787062408393034</v>
      </c>
      <c r="K369" s="132">
        <f>K367/K368</f>
        <v>63.507981586823945</v>
      </c>
    </row>
    <row r="370" spans="1:11" ht="20.25" thickBot="1" x14ac:dyDescent="0.3">
      <c r="A370" s="218"/>
      <c r="B370" s="218"/>
      <c r="C370" s="175"/>
      <c r="D370" s="178"/>
      <c r="E370" s="178"/>
      <c r="F370" s="178"/>
      <c r="G370" s="133"/>
      <c r="H370" s="134"/>
      <c r="I370" s="135" t="s">
        <v>51</v>
      </c>
      <c r="J370" s="136">
        <v>1</v>
      </c>
      <c r="K370" s="137">
        <v>1</v>
      </c>
    </row>
    <row r="371" spans="1:11" ht="42" customHeight="1" x14ac:dyDescent="0.25">
      <c r="A371" s="218"/>
      <c r="B371" s="218"/>
      <c r="C371" s="167" t="s">
        <v>203</v>
      </c>
      <c r="D371" s="164" t="s">
        <v>12</v>
      </c>
      <c r="E371" s="164" t="s">
        <v>190</v>
      </c>
      <c r="F371" s="164" t="s">
        <v>13</v>
      </c>
      <c r="G371" s="19" t="s">
        <v>14</v>
      </c>
      <c r="H371" s="20">
        <f>H372+H373</f>
        <v>357424.19652746996</v>
      </c>
      <c r="I371" s="21"/>
      <c r="J371" s="22"/>
      <c r="K371" s="23"/>
    </row>
    <row r="372" spans="1:11" ht="42" customHeight="1" x14ac:dyDescent="0.25">
      <c r="A372" s="218"/>
      <c r="B372" s="218"/>
      <c r="C372" s="168"/>
      <c r="D372" s="165"/>
      <c r="E372" s="165"/>
      <c r="F372" s="165"/>
      <c r="G372" s="24">
        <v>2024</v>
      </c>
      <c r="H372" s="25">
        <f>J372</f>
        <v>170283.08552999998</v>
      </c>
      <c r="I372" s="89" t="s">
        <v>34</v>
      </c>
      <c r="J372" s="68">
        <f>149502.27*113.9%</f>
        <v>170283.08552999998</v>
      </c>
      <c r="K372" s="69">
        <f>J372*1.099</f>
        <v>187141.11099746998</v>
      </c>
    </row>
    <row r="373" spans="1:11" ht="42" customHeight="1" x14ac:dyDescent="0.25">
      <c r="A373" s="218"/>
      <c r="B373" s="218"/>
      <c r="C373" s="168"/>
      <c r="D373" s="165"/>
      <c r="E373" s="165"/>
      <c r="F373" s="165"/>
      <c r="G373" s="24">
        <v>2025</v>
      </c>
      <c r="H373" s="25">
        <f>K372</f>
        <v>187141.11099746998</v>
      </c>
      <c r="I373" s="89" t="s">
        <v>139</v>
      </c>
      <c r="J373" s="98">
        <v>22</v>
      </c>
      <c r="K373" s="99">
        <v>22</v>
      </c>
    </row>
    <row r="374" spans="1:11" ht="42" customHeight="1" x14ac:dyDescent="0.25">
      <c r="A374" s="218"/>
      <c r="B374" s="218"/>
      <c r="C374" s="168"/>
      <c r="D374" s="165"/>
      <c r="E374" s="165"/>
      <c r="F374" s="165"/>
      <c r="G374" s="24"/>
      <c r="H374" s="25"/>
      <c r="I374" s="89" t="s">
        <v>70</v>
      </c>
      <c r="J374" s="75">
        <f>J372/J373</f>
        <v>7740.1402513636358</v>
      </c>
      <c r="K374" s="76">
        <f>K372/K373</f>
        <v>8506.4141362486353</v>
      </c>
    </row>
    <row r="375" spans="1:11" ht="42" customHeight="1" thickBot="1" x14ac:dyDescent="0.3">
      <c r="A375" s="218"/>
      <c r="B375" s="218"/>
      <c r="C375" s="169"/>
      <c r="D375" s="166"/>
      <c r="E375" s="166"/>
      <c r="F375" s="166"/>
      <c r="G375" s="29"/>
      <c r="H375" s="30"/>
      <c r="I375" s="65" t="s">
        <v>72</v>
      </c>
      <c r="J375" s="86">
        <v>1</v>
      </c>
      <c r="K375" s="87">
        <v>1</v>
      </c>
    </row>
    <row r="376" spans="1:11" ht="22.5" customHeight="1" thickBot="1" x14ac:dyDescent="0.3">
      <c r="A376" s="218"/>
      <c r="B376" s="218"/>
      <c r="C376" s="185" t="s">
        <v>200</v>
      </c>
      <c r="D376" s="186"/>
      <c r="E376" s="186"/>
      <c r="F376" s="186"/>
      <c r="G376" s="186"/>
      <c r="H376" s="186"/>
      <c r="I376" s="186"/>
      <c r="J376" s="186"/>
      <c r="K376" s="187"/>
    </row>
    <row r="377" spans="1:11" ht="19.5" customHeight="1" x14ac:dyDescent="0.25">
      <c r="A377" s="218"/>
      <c r="B377" s="218"/>
      <c r="C377" s="173" t="s">
        <v>62</v>
      </c>
      <c r="D377" s="176" t="s">
        <v>12</v>
      </c>
      <c r="E377" s="176" t="s">
        <v>65</v>
      </c>
      <c r="F377" s="176" t="s">
        <v>13</v>
      </c>
      <c r="G377" s="119" t="s">
        <v>14</v>
      </c>
      <c r="H377" s="120">
        <f>H378+H379</f>
        <v>25859.68</v>
      </c>
      <c r="I377" s="121"/>
      <c r="J377" s="122"/>
      <c r="K377" s="123"/>
    </row>
    <row r="378" spans="1:11" ht="19.5" x14ac:dyDescent="0.25">
      <c r="A378" s="218"/>
      <c r="B378" s="218"/>
      <c r="C378" s="174"/>
      <c r="D378" s="177"/>
      <c r="E378" s="177"/>
      <c r="F378" s="177"/>
      <c r="G378" s="124">
        <v>2024</v>
      </c>
      <c r="H378" s="125">
        <f>J378</f>
        <v>12320</v>
      </c>
      <c r="I378" s="126" t="s">
        <v>34</v>
      </c>
      <c r="J378" s="127">
        <v>12320</v>
      </c>
      <c r="K378" s="128">
        <f>J378*1.099</f>
        <v>13539.68</v>
      </c>
    </row>
    <row r="379" spans="1:11" ht="63.75" x14ac:dyDescent="0.25">
      <c r="A379" s="218"/>
      <c r="B379" s="218"/>
      <c r="C379" s="174"/>
      <c r="D379" s="177"/>
      <c r="E379" s="177"/>
      <c r="F379" s="177"/>
      <c r="G379" s="124">
        <v>2025</v>
      </c>
      <c r="H379" s="125">
        <f>K378</f>
        <v>13539.68</v>
      </c>
      <c r="I379" s="146" t="s">
        <v>187</v>
      </c>
      <c r="J379" s="147">
        <v>13275</v>
      </c>
      <c r="K379" s="148">
        <v>13295</v>
      </c>
    </row>
    <row r="380" spans="1:11" ht="38.25" x14ac:dyDescent="0.25">
      <c r="A380" s="218"/>
      <c r="B380" s="218"/>
      <c r="C380" s="174"/>
      <c r="D380" s="177"/>
      <c r="E380" s="177"/>
      <c r="F380" s="177"/>
      <c r="G380" s="124"/>
      <c r="H380" s="125"/>
      <c r="I380" s="146" t="s">
        <v>142</v>
      </c>
      <c r="J380" s="140">
        <f>J378/J379</f>
        <v>0.92806026365348404</v>
      </c>
      <c r="K380" s="144">
        <f>K378/K379</f>
        <v>1.0184039112448289</v>
      </c>
    </row>
    <row r="381" spans="1:11" ht="20.25" thickBot="1" x14ac:dyDescent="0.3">
      <c r="A381" s="218"/>
      <c r="B381" s="218"/>
      <c r="C381" s="175"/>
      <c r="D381" s="178"/>
      <c r="E381" s="178"/>
      <c r="F381" s="178"/>
      <c r="G381" s="133"/>
      <c r="H381" s="134"/>
      <c r="I381" s="135" t="s">
        <v>72</v>
      </c>
      <c r="J381" s="136">
        <v>1</v>
      </c>
      <c r="K381" s="137">
        <v>1</v>
      </c>
    </row>
    <row r="382" spans="1:11" ht="15" customHeight="1" x14ac:dyDescent="0.25">
      <c r="A382" s="218"/>
      <c r="B382" s="218"/>
      <c r="C382" s="168" t="s">
        <v>201</v>
      </c>
      <c r="D382" s="165" t="s">
        <v>12</v>
      </c>
      <c r="E382" s="165" t="s">
        <v>63</v>
      </c>
      <c r="F382" s="165" t="s">
        <v>13</v>
      </c>
      <c r="G382" s="141" t="s">
        <v>14</v>
      </c>
      <c r="H382" s="142">
        <f>H383+H384</f>
        <v>896372.89999999991</v>
      </c>
      <c r="I382" s="143"/>
      <c r="J382" s="138"/>
      <c r="K382" s="139"/>
    </row>
    <row r="383" spans="1:11" ht="15" customHeight="1" x14ac:dyDescent="0.25">
      <c r="A383" s="218"/>
      <c r="B383" s="218"/>
      <c r="C383" s="168"/>
      <c r="D383" s="165"/>
      <c r="E383" s="165"/>
      <c r="F383" s="165"/>
      <c r="G383" s="24">
        <v>2024</v>
      </c>
      <c r="H383" s="25">
        <f>J383</f>
        <v>432485.8</v>
      </c>
      <c r="I383" s="89" t="s">
        <v>34</v>
      </c>
      <c r="J383" s="68">
        <f>432485.8</f>
        <v>432485.8</v>
      </c>
      <c r="K383" s="69">
        <f>463887.1</f>
        <v>463887.1</v>
      </c>
    </row>
    <row r="384" spans="1:11" ht="15" customHeight="1" x14ac:dyDescent="0.25">
      <c r="A384" s="218"/>
      <c r="B384" s="218"/>
      <c r="C384" s="168"/>
      <c r="D384" s="165"/>
      <c r="E384" s="165"/>
      <c r="F384" s="165"/>
      <c r="G384" s="24">
        <v>2025</v>
      </c>
      <c r="H384" s="25">
        <f>K383</f>
        <v>463887.1</v>
      </c>
      <c r="I384" s="89" t="s">
        <v>41</v>
      </c>
      <c r="J384" s="72">
        <v>1522804</v>
      </c>
      <c r="K384" s="73">
        <v>1518626</v>
      </c>
    </row>
    <row r="385" spans="1:11" ht="25.5" x14ac:dyDescent="0.25">
      <c r="A385" s="218"/>
      <c r="B385" s="218"/>
      <c r="C385" s="168"/>
      <c r="D385" s="165"/>
      <c r="E385" s="165"/>
      <c r="F385" s="165"/>
      <c r="G385" s="24"/>
      <c r="H385" s="25"/>
      <c r="I385" s="89" t="s">
        <v>42</v>
      </c>
      <c r="J385" s="90">
        <f>J383/J384*1000</f>
        <v>284.00621485102477</v>
      </c>
      <c r="K385" s="91">
        <f>K383/K384*1000</f>
        <v>305.46500586714569</v>
      </c>
    </row>
    <row r="386" spans="1:11" ht="26.25" thickBot="1" x14ac:dyDescent="0.3">
      <c r="A386" s="218"/>
      <c r="B386" s="218"/>
      <c r="C386" s="169"/>
      <c r="D386" s="166"/>
      <c r="E386" s="166"/>
      <c r="F386" s="166"/>
      <c r="G386" s="51"/>
      <c r="H386" s="52"/>
      <c r="I386" s="92" t="s">
        <v>71</v>
      </c>
      <c r="J386" s="61">
        <v>1</v>
      </c>
      <c r="K386" s="62">
        <v>1</v>
      </c>
    </row>
    <row r="387" spans="1:11" ht="19.5" customHeight="1" x14ac:dyDescent="0.25">
      <c r="A387" s="218"/>
      <c r="B387" s="218"/>
      <c r="C387" s="167" t="s">
        <v>202</v>
      </c>
      <c r="D387" s="170" t="s">
        <v>12</v>
      </c>
      <c r="E387" s="170" t="s">
        <v>52</v>
      </c>
      <c r="F387" s="170" t="s">
        <v>13</v>
      </c>
      <c r="G387" s="149" t="s">
        <v>14</v>
      </c>
      <c r="H387" s="120">
        <f>H388+H389</f>
        <v>3939.6049999999996</v>
      </c>
      <c r="I387" s="150"/>
      <c r="J387" s="151"/>
      <c r="K387" s="152"/>
    </row>
    <row r="388" spans="1:11" ht="19.5" x14ac:dyDescent="0.25">
      <c r="A388" s="218"/>
      <c r="B388" s="218"/>
      <c r="C388" s="168"/>
      <c r="D388" s="171"/>
      <c r="E388" s="171"/>
      <c r="F388" s="171"/>
      <c r="G388" s="153">
        <v>2024</v>
      </c>
      <c r="H388" s="125">
        <f>J388</f>
        <v>1864.963</v>
      </c>
      <c r="I388" s="154" t="s">
        <v>19</v>
      </c>
      <c r="J388" s="155">
        <f>1864963/1000</f>
        <v>1864.963</v>
      </c>
      <c r="K388" s="156">
        <f>2074642/1000</f>
        <v>2074.6419999999998</v>
      </c>
    </row>
    <row r="389" spans="1:11" ht="25.5" x14ac:dyDescent="0.25">
      <c r="A389" s="218"/>
      <c r="B389" s="218"/>
      <c r="C389" s="168"/>
      <c r="D389" s="171"/>
      <c r="E389" s="171"/>
      <c r="F389" s="171"/>
      <c r="G389" s="153">
        <v>2025</v>
      </c>
      <c r="H389" s="125">
        <f>K388</f>
        <v>2074.6419999999998</v>
      </c>
      <c r="I389" s="154" t="s">
        <v>82</v>
      </c>
      <c r="J389" s="157">
        <v>56</v>
      </c>
      <c r="K389" s="158">
        <v>53</v>
      </c>
    </row>
    <row r="390" spans="1:11" ht="25.5" x14ac:dyDescent="0.25">
      <c r="A390" s="218"/>
      <c r="B390" s="218"/>
      <c r="C390" s="168"/>
      <c r="D390" s="171"/>
      <c r="E390" s="171"/>
      <c r="F390" s="171"/>
      <c r="G390" s="153"/>
      <c r="H390" s="125"/>
      <c r="I390" s="154" t="s">
        <v>16</v>
      </c>
      <c r="J390" s="159">
        <f>J388/J389</f>
        <v>33.302910714285716</v>
      </c>
      <c r="K390" s="160">
        <f>K388/K389</f>
        <v>39.144188679245282</v>
      </c>
    </row>
    <row r="391" spans="1:11" ht="20.25" thickBot="1" x14ac:dyDescent="0.3">
      <c r="A391" s="218"/>
      <c r="B391" s="218"/>
      <c r="C391" s="169"/>
      <c r="D391" s="172"/>
      <c r="E391" s="172"/>
      <c r="F391" s="172"/>
      <c r="G391" s="161"/>
      <c r="H391" s="134"/>
      <c r="I391" s="162" t="s">
        <v>72</v>
      </c>
      <c r="J391" s="136">
        <v>1</v>
      </c>
      <c r="K391" s="137">
        <v>1</v>
      </c>
    </row>
    <row r="392" spans="1:11" ht="19.5" customHeight="1" x14ac:dyDescent="0.25">
      <c r="A392" s="218"/>
      <c r="B392" s="218"/>
      <c r="C392" s="167" t="s">
        <v>86</v>
      </c>
      <c r="D392" s="164" t="s">
        <v>12</v>
      </c>
      <c r="E392" s="164" t="s">
        <v>74</v>
      </c>
      <c r="F392" s="164" t="s">
        <v>13</v>
      </c>
      <c r="G392" s="19" t="s">
        <v>14</v>
      </c>
      <c r="H392" s="20">
        <f>H393+H394</f>
        <v>10831.992</v>
      </c>
      <c r="I392" s="21"/>
      <c r="J392" s="22"/>
      <c r="K392" s="23"/>
    </row>
    <row r="393" spans="1:11" ht="19.5" x14ac:dyDescent="0.25">
      <c r="A393" s="218"/>
      <c r="B393" s="218"/>
      <c r="C393" s="168"/>
      <c r="D393" s="165"/>
      <c r="E393" s="165"/>
      <c r="F393" s="165"/>
      <c r="G393" s="24">
        <v>2024</v>
      </c>
      <c r="H393" s="25">
        <f>J393</f>
        <v>5160.549</v>
      </c>
      <c r="I393" s="26" t="s">
        <v>76</v>
      </c>
      <c r="J393" s="68">
        <f>J394+J395</f>
        <v>5160.549</v>
      </c>
      <c r="K393" s="69">
        <f>K394+K395</f>
        <v>5671.4430000000002</v>
      </c>
    </row>
    <row r="394" spans="1:11" ht="19.5" x14ac:dyDescent="0.25">
      <c r="A394" s="218"/>
      <c r="B394" s="218"/>
      <c r="C394" s="168"/>
      <c r="D394" s="165"/>
      <c r="E394" s="165"/>
      <c r="F394" s="165"/>
      <c r="G394" s="24">
        <v>2025</v>
      </c>
      <c r="H394" s="25">
        <f>K393</f>
        <v>5671.4430000000002</v>
      </c>
      <c r="I394" s="26" t="s">
        <v>75</v>
      </c>
      <c r="J394" s="68">
        <v>2787.8319999999999</v>
      </c>
      <c r="K394" s="69">
        <v>3063.8270000000002</v>
      </c>
    </row>
    <row r="395" spans="1:11" ht="19.5" x14ac:dyDescent="0.25">
      <c r="A395" s="218"/>
      <c r="B395" s="218"/>
      <c r="C395" s="168"/>
      <c r="D395" s="165"/>
      <c r="E395" s="165"/>
      <c r="F395" s="165"/>
      <c r="G395" s="29"/>
      <c r="H395" s="30"/>
      <c r="I395" s="26" t="s">
        <v>77</v>
      </c>
      <c r="J395" s="68">
        <v>2372.7170000000001</v>
      </c>
      <c r="K395" s="69">
        <v>2607.616</v>
      </c>
    </row>
    <row r="396" spans="1:11" ht="51" x14ac:dyDescent="0.25">
      <c r="A396" s="218"/>
      <c r="B396" s="218"/>
      <c r="C396" s="168"/>
      <c r="D396" s="165"/>
      <c r="E396" s="165"/>
      <c r="F396" s="165"/>
      <c r="G396" s="24"/>
      <c r="H396" s="25"/>
      <c r="I396" s="88" t="s">
        <v>79</v>
      </c>
      <c r="J396" s="72">
        <f>J397+J398</f>
        <v>1610</v>
      </c>
      <c r="K396" s="73">
        <f>K397+K398</f>
        <v>1610</v>
      </c>
    </row>
    <row r="397" spans="1:11" ht="25.5" x14ac:dyDescent="0.25">
      <c r="A397" s="218"/>
      <c r="B397" s="218"/>
      <c r="C397" s="168"/>
      <c r="D397" s="165"/>
      <c r="E397" s="165"/>
      <c r="F397" s="165"/>
      <c r="G397" s="93"/>
      <c r="H397" s="74"/>
      <c r="I397" s="88" t="s">
        <v>104</v>
      </c>
      <c r="J397" s="56">
        <v>648</v>
      </c>
      <c r="K397" s="57">
        <v>648</v>
      </c>
    </row>
    <row r="398" spans="1:11" ht="25.5" x14ac:dyDescent="0.25">
      <c r="A398" s="218"/>
      <c r="B398" s="218"/>
      <c r="C398" s="168"/>
      <c r="D398" s="165"/>
      <c r="E398" s="165"/>
      <c r="F398" s="165"/>
      <c r="G398" s="24"/>
      <c r="H398" s="25"/>
      <c r="I398" s="88" t="s">
        <v>78</v>
      </c>
      <c r="J398" s="56">
        <v>962</v>
      </c>
      <c r="K398" s="57">
        <v>962</v>
      </c>
    </row>
    <row r="399" spans="1:11" ht="38.25" x14ac:dyDescent="0.25">
      <c r="A399" s="218"/>
      <c r="B399" s="218"/>
      <c r="C399" s="168"/>
      <c r="D399" s="165"/>
      <c r="E399" s="165"/>
      <c r="F399" s="165"/>
      <c r="G399" s="29"/>
      <c r="H399" s="30"/>
      <c r="I399" s="94" t="s">
        <v>105</v>
      </c>
      <c r="J399" s="95">
        <f>J394/J397</f>
        <v>4.30220987654321</v>
      </c>
      <c r="K399" s="96">
        <f>K394/K397</f>
        <v>4.728128086419753</v>
      </c>
    </row>
    <row r="400" spans="1:11" ht="25.5" x14ac:dyDescent="0.25">
      <c r="A400" s="218"/>
      <c r="B400" s="218"/>
      <c r="C400" s="168"/>
      <c r="D400" s="165"/>
      <c r="E400" s="165"/>
      <c r="F400" s="165"/>
      <c r="G400" s="29"/>
      <c r="H400" s="30"/>
      <c r="I400" s="94" t="s">
        <v>106</v>
      </c>
      <c r="J400" s="95">
        <f>J395/J398</f>
        <v>2.4664417879417879</v>
      </c>
      <c r="K400" s="96">
        <f>K395/K398</f>
        <v>2.7106195426195425</v>
      </c>
    </row>
    <row r="401" spans="1:11" ht="20.25" thickBot="1" x14ac:dyDescent="0.3">
      <c r="A401" s="218"/>
      <c r="B401" s="218"/>
      <c r="C401" s="169"/>
      <c r="D401" s="166"/>
      <c r="E401" s="166"/>
      <c r="F401" s="166"/>
      <c r="G401" s="51"/>
      <c r="H401" s="52"/>
      <c r="I401" s="97" t="s">
        <v>72</v>
      </c>
      <c r="J401" s="61">
        <v>1</v>
      </c>
      <c r="K401" s="62">
        <v>1</v>
      </c>
    </row>
    <row r="402" spans="1:11" ht="19.5" x14ac:dyDescent="0.25">
      <c r="A402" s="218"/>
      <c r="B402" s="218"/>
      <c r="C402" s="167" t="s">
        <v>167</v>
      </c>
      <c r="D402" s="164" t="s">
        <v>12</v>
      </c>
      <c r="E402" s="164" t="s">
        <v>107</v>
      </c>
      <c r="F402" s="164" t="s">
        <v>13</v>
      </c>
      <c r="G402" s="19" t="s">
        <v>14</v>
      </c>
      <c r="H402" s="20">
        <f>H403+H404</f>
        <v>2381.9452000000001</v>
      </c>
      <c r="I402" s="21"/>
      <c r="J402" s="22"/>
      <c r="K402" s="23"/>
    </row>
    <row r="403" spans="1:11" ht="19.5" x14ac:dyDescent="0.25">
      <c r="A403" s="218"/>
      <c r="B403" s="218"/>
      <c r="C403" s="168"/>
      <c r="D403" s="165"/>
      <c r="E403" s="165"/>
      <c r="F403" s="165"/>
      <c r="G403" s="24">
        <v>2024</v>
      </c>
      <c r="H403" s="25">
        <f>J403</f>
        <v>1134.8</v>
      </c>
      <c r="I403" s="89" t="s">
        <v>34</v>
      </c>
      <c r="J403" s="75">
        <v>1134.8</v>
      </c>
      <c r="K403" s="76">
        <f>J403*1.099</f>
        <v>1247.1451999999999</v>
      </c>
    </row>
    <row r="404" spans="1:11" ht="25.5" x14ac:dyDescent="0.25">
      <c r="A404" s="218"/>
      <c r="B404" s="218"/>
      <c r="C404" s="168"/>
      <c r="D404" s="165"/>
      <c r="E404" s="165"/>
      <c r="F404" s="165"/>
      <c r="G404" s="24">
        <v>2025</v>
      </c>
      <c r="H404" s="25">
        <f>K403</f>
        <v>1247.1451999999999</v>
      </c>
      <c r="I404" s="89" t="s">
        <v>138</v>
      </c>
      <c r="J404" s="98">
        <v>2</v>
      </c>
      <c r="K404" s="99">
        <v>2</v>
      </c>
    </row>
    <row r="405" spans="1:11" ht="25.5" x14ac:dyDescent="0.25">
      <c r="A405" s="218"/>
      <c r="B405" s="218"/>
      <c r="C405" s="168"/>
      <c r="D405" s="165"/>
      <c r="E405" s="165"/>
      <c r="F405" s="165"/>
      <c r="G405" s="24"/>
      <c r="H405" s="25"/>
      <c r="I405" s="89" t="s">
        <v>70</v>
      </c>
      <c r="J405" s="75">
        <f>J403/J404</f>
        <v>567.4</v>
      </c>
      <c r="K405" s="76">
        <f>K403/K404</f>
        <v>623.57259999999997</v>
      </c>
    </row>
    <row r="406" spans="1:11" ht="20.25" thickBot="1" x14ac:dyDescent="0.3">
      <c r="A406" s="218"/>
      <c r="B406" s="218"/>
      <c r="C406" s="169"/>
      <c r="D406" s="166"/>
      <c r="E406" s="166"/>
      <c r="F406" s="166"/>
      <c r="G406" s="51"/>
      <c r="H406" s="52"/>
      <c r="I406" s="60" t="s">
        <v>72</v>
      </c>
      <c r="J406" s="61">
        <v>1</v>
      </c>
      <c r="K406" s="62">
        <v>1</v>
      </c>
    </row>
    <row r="407" spans="1:11" ht="19.5" x14ac:dyDescent="0.25">
      <c r="A407" s="218"/>
      <c r="B407" s="218"/>
      <c r="C407" s="167" t="s">
        <v>198</v>
      </c>
      <c r="D407" s="164" t="s">
        <v>12</v>
      </c>
      <c r="E407" s="164" t="s">
        <v>188</v>
      </c>
      <c r="F407" s="164" t="s">
        <v>13</v>
      </c>
      <c r="G407" s="19" t="s">
        <v>14</v>
      </c>
      <c r="H407" s="20">
        <f>H408+H409</f>
        <v>362184.10499999998</v>
      </c>
      <c r="I407" s="21"/>
      <c r="J407" s="22"/>
      <c r="K407" s="23"/>
    </row>
    <row r="408" spans="1:11" ht="19.5" x14ac:dyDescent="0.25">
      <c r="A408" s="218"/>
      <c r="B408" s="218"/>
      <c r="C408" s="168"/>
      <c r="D408" s="165"/>
      <c r="E408" s="165"/>
      <c r="F408" s="165"/>
      <c r="G408" s="24">
        <v>2024</v>
      </c>
      <c r="H408" s="25">
        <f>J408</f>
        <v>176671.72500000001</v>
      </c>
      <c r="I408" s="89" t="s">
        <v>34</v>
      </c>
      <c r="J408" s="68">
        <v>176671.72500000001</v>
      </c>
      <c r="K408" s="69">
        <v>185512.38</v>
      </c>
    </row>
    <row r="409" spans="1:11" ht="19.5" x14ac:dyDescent="0.25">
      <c r="A409" s="218"/>
      <c r="B409" s="218"/>
      <c r="C409" s="168"/>
      <c r="D409" s="165"/>
      <c r="E409" s="165"/>
      <c r="F409" s="165"/>
      <c r="G409" s="24">
        <v>2025</v>
      </c>
      <c r="H409" s="25">
        <f>K408</f>
        <v>185512.38</v>
      </c>
      <c r="I409" s="89" t="s">
        <v>189</v>
      </c>
      <c r="J409" s="98">
        <v>580687</v>
      </c>
      <c r="K409" s="99">
        <v>578684</v>
      </c>
    </row>
    <row r="410" spans="1:11" ht="25.5" x14ac:dyDescent="0.25">
      <c r="A410" s="218"/>
      <c r="B410" s="218"/>
      <c r="C410" s="168"/>
      <c r="D410" s="165"/>
      <c r="E410" s="165"/>
      <c r="F410" s="165"/>
      <c r="G410" s="24"/>
      <c r="H410" s="25"/>
      <c r="I410" s="89" t="s">
        <v>70</v>
      </c>
      <c r="J410" s="75">
        <f>J408/J409</f>
        <v>0.3042460482153036</v>
      </c>
      <c r="K410" s="76">
        <f>K408/K409</f>
        <v>0.32057630762212191</v>
      </c>
    </row>
    <row r="411" spans="1:11" ht="20.25" thickBot="1" x14ac:dyDescent="0.3">
      <c r="A411" s="219"/>
      <c r="B411" s="219"/>
      <c r="C411" s="169"/>
      <c r="D411" s="166"/>
      <c r="E411" s="166"/>
      <c r="F411" s="166"/>
      <c r="G411" s="29"/>
      <c r="H411" s="30"/>
      <c r="I411" s="65" t="s">
        <v>72</v>
      </c>
      <c r="J411" s="86">
        <v>1</v>
      </c>
      <c r="K411" s="87">
        <v>1</v>
      </c>
    </row>
    <row r="412" spans="1:11" ht="19.5" customHeight="1" x14ac:dyDescent="0.25">
      <c r="A412" s="179" t="s">
        <v>64</v>
      </c>
      <c r="B412" s="180"/>
      <c r="C412" s="180"/>
      <c r="D412" s="180"/>
      <c r="E412" s="180"/>
      <c r="F412" s="180"/>
      <c r="G412" s="100" t="s">
        <v>14</v>
      </c>
      <c r="H412" s="101">
        <f>H413+H414</f>
        <v>23933054.009295113</v>
      </c>
      <c r="I412" s="102"/>
      <c r="J412" s="103"/>
      <c r="K412" s="104"/>
    </row>
    <row r="413" spans="1:11" ht="19.5" customHeight="1" x14ac:dyDescent="0.25">
      <c r="A413" s="181"/>
      <c r="B413" s="182"/>
      <c r="C413" s="182"/>
      <c r="D413" s="182"/>
      <c r="E413" s="182"/>
      <c r="F413" s="182"/>
      <c r="G413" s="105">
        <v>2024</v>
      </c>
      <c r="H413" s="106">
        <f>H9+H14+H19+H25+H30+H41+H46+H53+H60+H65+H72+H79+H86+H93+H100+H107+H114+H121+H128+H135+H160+H165+H172+H179+H186+H193+H198+H205+H212+H217+H222+H229+H236+H241+H246+H251+H256+H265+H270+H275+H286+H291+H296+H301+H306+H311+H316+H323+H330+H337+H342+H347+H352+H357+H362+H367+H372+H378+H383+H388+H393+H403+H408</f>
        <v>14071305.571543735</v>
      </c>
      <c r="I413" s="107"/>
      <c r="K413" s="108"/>
    </row>
    <row r="414" spans="1:11" ht="20.25" customHeight="1" thickBot="1" x14ac:dyDescent="0.3">
      <c r="A414" s="183"/>
      <c r="B414" s="184"/>
      <c r="C414" s="184"/>
      <c r="D414" s="184"/>
      <c r="E414" s="184"/>
      <c r="F414" s="184"/>
      <c r="G414" s="109">
        <v>2025</v>
      </c>
      <c r="H414" s="163">
        <f>H10+H15+H20+H26+H31+H42+H47+H54+H61+H66+H73+H80+H87+H94+H101+H108+H115+H122+H129+H136+H161+H166+H173+H180+H187+H194+H199+H206+H213+H218+H223+H230+H237+H242+H247+H252+H257+H266+H271+H276+H287+H292+H297+H302+H307+H312+H317+H324+H331+H338+H343+H348+H353+H358+H363+H368+H373+H379+H384+H389+H394+H404+H409</f>
        <v>9861748.437751377</v>
      </c>
      <c r="I414" s="110"/>
      <c r="J414" s="111"/>
      <c r="K414" s="112"/>
    </row>
    <row r="415" spans="1:11" ht="19.5" x14ac:dyDescent="0.25">
      <c r="B415" s="1"/>
      <c r="G415" s="113"/>
      <c r="H415" s="13"/>
      <c r="I415" s="107"/>
    </row>
    <row r="416" spans="1:11" s="2" customFormat="1" ht="20.25" customHeight="1" x14ac:dyDescent="0.25">
      <c r="A416" s="216" t="s">
        <v>53</v>
      </c>
      <c r="B416" s="217"/>
      <c r="C416" s="217"/>
      <c r="D416" s="217"/>
      <c r="E416" s="217"/>
      <c r="F416" s="217"/>
      <c r="G416" s="217"/>
      <c r="H416" s="114"/>
      <c r="I416" s="115"/>
      <c r="J416" s="12"/>
      <c r="K416" s="12"/>
    </row>
    <row r="417" spans="1:11" s="2" customFormat="1" ht="24" customHeight="1" x14ac:dyDescent="0.25">
      <c r="A417" s="216" t="s">
        <v>54</v>
      </c>
      <c r="B417" s="217"/>
      <c r="C417" s="217"/>
      <c r="D417" s="217"/>
      <c r="E417" s="217"/>
      <c r="F417" s="217"/>
      <c r="G417" s="217"/>
      <c r="H417" s="116"/>
      <c r="I417" s="115"/>
      <c r="J417" s="12"/>
      <c r="K417" s="12"/>
    </row>
  </sheetData>
  <mergeCells count="279">
    <mergeCell ref="C64:C70"/>
    <mergeCell ref="D64:D70"/>
    <mergeCell ref="D178:D184"/>
    <mergeCell ref="E178:E184"/>
    <mergeCell ref="D290:D294"/>
    <mergeCell ref="C315:C321"/>
    <mergeCell ref="D315:D321"/>
    <mergeCell ref="E315:E321"/>
    <mergeCell ref="A1:K1"/>
    <mergeCell ref="A2:K2"/>
    <mergeCell ref="E290:E294"/>
    <mergeCell ref="C23:K23"/>
    <mergeCell ref="C235:C239"/>
    <mergeCell ref="D235:D239"/>
    <mergeCell ref="E235:E239"/>
    <mergeCell ref="F235:F239"/>
    <mergeCell ref="F290:F294"/>
    <mergeCell ref="F269:F273"/>
    <mergeCell ref="C141:C149"/>
    <mergeCell ref="D141:D149"/>
    <mergeCell ref="C92:C98"/>
    <mergeCell ref="D92:D98"/>
    <mergeCell ref="E92:E98"/>
    <mergeCell ref="F92:F98"/>
    <mergeCell ref="A416:G416"/>
    <mergeCell ref="A417:G417"/>
    <mergeCell ref="C371:C375"/>
    <mergeCell ref="D371:D375"/>
    <mergeCell ref="E371:E375"/>
    <mergeCell ref="F371:F375"/>
    <mergeCell ref="C402:C406"/>
    <mergeCell ref="D402:D406"/>
    <mergeCell ref="E402:E406"/>
    <mergeCell ref="F402:F406"/>
    <mergeCell ref="C382:C386"/>
    <mergeCell ref="D382:D386"/>
    <mergeCell ref="E382:E386"/>
    <mergeCell ref="C377:C381"/>
    <mergeCell ref="D377:D381"/>
    <mergeCell ref="E377:E381"/>
    <mergeCell ref="F387:F391"/>
    <mergeCell ref="E387:E391"/>
    <mergeCell ref="F407:F411"/>
    <mergeCell ref="A7:A411"/>
    <mergeCell ref="B7:B411"/>
    <mergeCell ref="F356:F360"/>
    <mergeCell ref="D351:D355"/>
    <mergeCell ref="E351:E355"/>
    <mergeCell ref="C341:C345"/>
    <mergeCell ref="D341:D345"/>
    <mergeCell ref="E341:E345"/>
    <mergeCell ref="F341:F345"/>
    <mergeCell ref="E120:E126"/>
    <mergeCell ref="F120:F126"/>
    <mergeCell ref="C336:C340"/>
    <mergeCell ref="D336:D340"/>
    <mergeCell ref="E336:E340"/>
    <mergeCell ref="F336:F340"/>
    <mergeCell ref="C274:C284"/>
    <mergeCell ref="D274:D284"/>
    <mergeCell ref="E274:E284"/>
    <mergeCell ref="F274:F284"/>
    <mergeCell ref="C322:C328"/>
    <mergeCell ref="D255:D263"/>
    <mergeCell ref="E255:E263"/>
    <mergeCell ref="F255:F263"/>
    <mergeCell ref="F245:F249"/>
    <mergeCell ref="C285:C289"/>
    <mergeCell ref="D285:D289"/>
    <mergeCell ref="E285:E289"/>
    <mergeCell ref="F285:F289"/>
    <mergeCell ref="C290:C294"/>
    <mergeCell ref="C361:C365"/>
    <mergeCell ref="F295:F299"/>
    <mergeCell ref="C300:C304"/>
    <mergeCell ref="D300:D304"/>
    <mergeCell ref="E300:E304"/>
    <mergeCell ref="F300:F304"/>
    <mergeCell ref="C305:C309"/>
    <mergeCell ref="D305:D309"/>
    <mergeCell ref="E305:E309"/>
    <mergeCell ref="F305:F309"/>
    <mergeCell ref="F329:F335"/>
    <mergeCell ref="D322:D328"/>
    <mergeCell ref="E322:E328"/>
    <mergeCell ref="F322:F328"/>
    <mergeCell ref="C329:C335"/>
    <mergeCell ref="D329:D335"/>
    <mergeCell ref="E329:E335"/>
    <mergeCell ref="F315:F321"/>
    <mergeCell ref="C310:C314"/>
    <mergeCell ref="D310:D314"/>
    <mergeCell ref="E310:E314"/>
    <mergeCell ref="F310:F314"/>
    <mergeCell ref="C295:C299"/>
    <mergeCell ref="E295:E299"/>
    <mergeCell ref="C18:C22"/>
    <mergeCell ref="C24:C28"/>
    <mergeCell ref="D113:D119"/>
    <mergeCell ref="E113:E119"/>
    <mergeCell ref="F113:F119"/>
    <mergeCell ref="C45:C51"/>
    <mergeCell ref="D45:D51"/>
    <mergeCell ref="E45:E51"/>
    <mergeCell ref="F45:F51"/>
    <mergeCell ref="E64:E70"/>
    <mergeCell ref="F64:F70"/>
    <mergeCell ref="C71:C77"/>
    <mergeCell ref="D71:D77"/>
    <mergeCell ref="E71:E77"/>
    <mergeCell ref="F71:F77"/>
    <mergeCell ref="F18:F22"/>
    <mergeCell ref="D24:D28"/>
    <mergeCell ref="E24:E28"/>
    <mergeCell ref="F24:F28"/>
    <mergeCell ref="C52:C58"/>
    <mergeCell ref="C78:C84"/>
    <mergeCell ref="D78:D84"/>
    <mergeCell ref="E78:E84"/>
    <mergeCell ref="F78:F84"/>
    <mergeCell ref="C59:C63"/>
    <mergeCell ref="D59:D63"/>
    <mergeCell ref="E59:E63"/>
    <mergeCell ref="F59:F63"/>
    <mergeCell ref="E192:E196"/>
    <mergeCell ref="F192:F196"/>
    <mergeCell ref="C40:C44"/>
    <mergeCell ref="D40:D44"/>
    <mergeCell ref="E40:E44"/>
    <mergeCell ref="F40:F44"/>
    <mergeCell ref="C99:C105"/>
    <mergeCell ref="D99:D105"/>
    <mergeCell ref="E99:E105"/>
    <mergeCell ref="F99:F105"/>
    <mergeCell ref="C171:C177"/>
    <mergeCell ref="D171:D177"/>
    <mergeCell ref="E171:E177"/>
    <mergeCell ref="F171:F177"/>
    <mergeCell ref="C192:C196"/>
    <mergeCell ref="D192:D196"/>
    <mergeCell ref="C120:C126"/>
    <mergeCell ref="D120:D126"/>
    <mergeCell ref="C185:C191"/>
    <mergeCell ref="D185:D191"/>
    <mergeCell ref="C113:C119"/>
    <mergeCell ref="F197:F203"/>
    <mergeCell ref="D18:D22"/>
    <mergeCell ref="E18:E22"/>
    <mergeCell ref="I4:K4"/>
    <mergeCell ref="A4:A5"/>
    <mergeCell ref="B4:B5"/>
    <mergeCell ref="C4:C5"/>
    <mergeCell ref="D4:D5"/>
    <mergeCell ref="G6:H6"/>
    <mergeCell ref="E4:E5"/>
    <mergeCell ref="F4:F5"/>
    <mergeCell ref="D8:D12"/>
    <mergeCell ref="E8:E12"/>
    <mergeCell ref="F8:F12"/>
    <mergeCell ref="G4:H5"/>
    <mergeCell ref="C8:C12"/>
    <mergeCell ref="C7:K7"/>
    <mergeCell ref="C13:C17"/>
    <mergeCell ref="D13:D17"/>
    <mergeCell ref="E13:E17"/>
    <mergeCell ref="D127:D133"/>
    <mergeCell ref="E127:E133"/>
    <mergeCell ref="F127:F133"/>
    <mergeCell ref="F13:F17"/>
    <mergeCell ref="E185:E191"/>
    <mergeCell ref="F185:F191"/>
    <mergeCell ref="E164:E170"/>
    <mergeCell ref="E141:E149"/>
    <mergeCell ref="C150:C158"/>
    <mergeCell ref="D150:D158"/>
    <mergeCell ref="F150:F158"/>
    <mergeCell ref="C106:C112"/>
    <mergeCell ref="D106:D112"/>
    <mergeCell ref="E106:E112"/>
    <mergeCell ref="F106:F112"/>
    <mergeCell ref="C29:C39"/>
    <mergeCell ref="D29:D39"/>
    <mergeCell ref="E29:E39"/>
    <mergeCell ref="F29:F39"/>
    <mergeCell ref="C134:C140"/>
    <mergeCell ref="D134:D140"/>
    <mergeCell ref="E134:E140"/>
    <mergeCell ref="F134:F140"/>
    <mergeCell ref="C127:C133"/>
    <mergeCell ref="D52:D58"/>
    <mergeCell ref="E52:E58"/>
    <mergeCell ref="F52:F58"/>
    <mergeCell ref="E150:E158"/>
    <mergeCell ref="F164:F170"/>
    <mergeCell ref="C264:C268"/>
    <mergeCell ref="D264:D268"/>
    <mergeCell ref="E264:E268"/>
    <mergeCell ref="F264:F268"/>
    <mergeCell ref="E211:E215"/>
    <mergeCell ref="F211:F215"/>
    <mergeCell ref="F178:F184"/>
    <mergeCell ref="C204:C210"/>
    <mergeCell ref="D204:D210"/>
    <mergeCell ref="E204:E210"/>
    <mergeCell ref="F204:F210"/>
    <mergeCell ref="E221:E227"/>
    <mergeCell ref="F221:F227"/>
    <mergeCell ref="D211:D215"/>
    <mergeCell ref="D250:D254"/>
    <mergeCell ref="E250:E254"/>
    <mergeCell ref="F250:F254"/>
    <mergeCell ref="C197:C203"/>
    <mergeCell ref="D197:D203"/>
    <mergeCell ref="E197:E203"/>
    <mergeCell ref="C245:C249"/>
    <mergeCell ref="C159:C163"/>
    <mergeCell ref="D159:D163"/>
    <mergeCell ref="E159:E163"/>
    <mergeCell ref="F159:F163"/>
    <mergeCell ref="E228:E234"/>
    <mergeCell ref="F228:F234"/>
    <mergeCell ref="C221:C227"/>
    <mergeCell ref="D221:D227"/>
    <mergeCell ref="C211:C215"/>
    <mergeCell ref="C228:C234"/>
    <mergeCell ref="C216:C220"/>
    <mergeCell ref="D216:D220"/>
    <mergeCell ref="E216:E220"/>
    <mergeCell ref="F216:F220"/>
    <mergeCell ref="C178:C184"/>
    <mergeCell ref="D228:D234"/>
    <mergeCell ref="A412:F414"/>
    <mergeCell ref="E346:E350"/>
    <mergeCell ref="F346:F350"/>
    <mergeCell ref="C85:C91"/>
    <mergeCell ref="D85:D91"/>
    <mergeCell ref="E85:E91"/>
    <mergeCell ref="F85:F91"/>
    <mergeCell ref="C392:C401"/>
    <mergeCell ref="E392:E401"/>
    <mergeCell ref="F377:F381"/>
    <mergeCell ref="C376:K376"/>
    <mergeCell ref="D392:D401"/>
    <mergeCell ref="F392:F401"/>
    <mergeCell ref="C356:C360"/>
    <mergeCell ref="D356:D360"/>
    <mergeCell ref="E356:E360"/>
    <mergeCell ref="C164:C170"/>
    <mergeCell ref="D164:D170"/>
    <mergeCell ref="C240:C244"/>
    <mergeCell ref="C407:C411"/>
    <mergeCell ref="D407:D411"/>
    <mergeCell ref="E407:E411"/>
    <mergeCell ref="D240:D244"/>
    <mergeCell ref="F141:F149"/>
    <mergeCell ref="D295:D299"/>
    <mergeCell ref="C250:C254"/>
    <mergeCell ref="E240:E244"/>
    <mergeCell ref="F240:F244"/>
    <mergeCell ref="F351:F355"/>
    <mergeCell ref="C351:C355"/>
    <mergeCell ref="C387:C391"/>
    <mergeCell ref="D387:D391"/>
    <mergeCell ref="C346:C350"/>
    <mergeCell ref="D346:D350"/>
    <mergeCell ref="D361:D365"/>
    <mergeCell ref="E361:E365"/>
    <mergeCell ref="F361:F365"/>
    <mergeCell ref="F382:F386"/>
    <mergeCell ref="C366:C370"/>
    <mergeCell ref="D366:D370"/>
    <mergeCell ref="E366:E370"/>
    <mergeCell ref="F366:F370"/>
    <mergeCell ref="C269:C273"/>
    <mergeCell ref="D269:D273"/>
    <mergeCell ref="E269:E273"/>
    <mergeCell ref="D245:D249"/>
    <mergeCell ref="E245:E249"/>
    <mergeCell ref="C255:C263"/>
  </mergeCells>
  <printOptions horizontalCentered="1"/>
  <pageMargins left="0.27559055118110237" right="0.23622047244094491" top="0.15748031496062992" bottom="0.11811023622047245" header="0" footer="0"/>
  <pageSetup paperSize="9" scale="51" fitToHeight="0" orientation="landscape" r:id="rId1"/>
  <rowBreaks count="10" manualBreakCount="10">
    <brk id="39" max="10" man="1"/>
    <brk id="77" max="11" man="1"/>
    <brk id="105" max="11" man="1"/>
    <brk id="163" max="10" man="1"/>
    <brk id="203" max="11" man="1"/>
    <brk id="244" max="10" man="1"/>
    <brk id="273" max="11" man="1"/>
    <brk id="304" max="10" man="1"/>
    <brk id="340" max="11" man="1"/>
    <brk id="37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програма</vt:lpstr>
      <vt:lpstr>програма!Заголовки_для_печати</vt:lpstr>
      <vt:lpstr>програма!Область_печати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User</cp:lastModifiedBy>
  <cp:lastPrinted>2023-05-22T11:01:31Z</cp:lastPrinted>
  <dcterms:created xsi:type="dcterms:W3CDTF">2023-04-13T11:19:37Z</dcterms:created>
  <dcterms:modified xsi:type="dcterms:W3CDTF">2023-05-22T13:05:22Z</dcterms:modified>
</cp:coreProperties>
</file>