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 МЦП Громадське здоров'я\"/>
    </mc:Choice>
  </mc:AlternateContent>
  <xr:revisionPtr revIDLastSave="0" documentId="13_ncr:1_{687DBA38-FEFC-49C5-960F-808F71C0DD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ва редакція" sheetId="4" r:id="rId1"/>
  </sheets>
  <definedNames>
    <definedName name="_Hlk27468225" localSheetId="0">'нова редакція'!#REF!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4" l="1"/>
  <c r="AA57" i="4"/>
  <c r="Z57" i="4"/>
  <c r="Y57" i="4"/>
  <c r="W57" i="4"/>
  <c r="W56" i="4"/>
  <c r="W55" i="4"/>
  <c r="W54" i="4"/>
  <c r="W53" i="4"/>
  <c r="AA52" i="4"/>
  <c r="Z52" i="4"/>
  <c r="Y52" i="4"/>
  <c r="W52" i="4"/>
  <c r="W51" i="4"/>
  <c r="W50" i="4"/>
  <c r="AA48" i="4"/>
  <c r="Z48" i="4"/>
  <c r="Y48" i="4"/>
  <c r="W49" i="4"/>
  <c r="W48" i="4"/>
  <c r="W47" i="4"/>
  <c r="W46" i="4"/>
  <c r="Y78" i="4" l="1"/>
  <c r="AA13" i="4"/>
  <c r="Z13" i="4"/>
  <c r="Y13" i="4"/>
  <c r="AA17" i="4"/>
  <c r="Z17" i="4"/>
  <c r="Y17" i="4"/>
  <c r="AA29" i="4"/>
  <c r="Z29" i="4"/>
  <c r="Y29" i="4"/>
  <c r="W12" i="4"/>
  <c r="W17" i="4"/>
  <c r="W22" i="4"/>
  <c r="W29" i="4"/>
  <c r="W33" i="4"/>
  <c r="W41" i="4"/>
  <c r="W61" i="4"/>
  <c r="W65" i="4"/>
  <c r="W79" i="4"/>
  <c r="W88" i="4"/>
  <c r="W93" i="4"/>
  <c r="W98" i="4"/>
  <c r="AA23" i="4" l="1"/>
  <c r="Z23" i="4"/>
  <c r="Y23" i="4"/>
  <c r="AA99" i="4"/>
  <c r="Z99" i="4"/>
  <c r="Y99" i="4"/>
  <c r="AA94" i="4"/>
  <c r="Z94" i="4"/>
  <c r="Y94" i="4"/>
  <c r="AA89" i="4"/>
  <c r="Z89" i="4"/>
  <c r="Y89" i="4"/>
  <c r="AA42" i="4"/>
  <c r="Z42" i="4"/>
  <c r="Z67" i="4"/>
  <c r="Z81" i="4"/>
  <c r="W83" i="4" l="1"/>
  <c r="AA67" i="4"/>
  <c r="W69" i="4"/>
  <c r="AA81" i="4"/>
  <c r="Y72" i="4"/>
  <c r="W31" i="4"/>
  <c r="Y83" i="4"/>
  <c r="Y84" i="4" s="1"/>
  <c r="AA43" i="4"/>
  <c r="Z43" i="4"/>
  <c r="Y43" i="4"/>
  <c r="Y42" i="4"/>
  <c r="W37" i="4"/>
  <c r="W38" i="4"/>
  <c r="AA33" i="4"/>
  <c r="Z33" i="4"/>
  <c r="Y33" i="4"/>
  <c r="AA73" i="4"/>
  <c r="AA76" i="4" s="1"/>
  <c r="Z73" i="4"/>
  <c r="Z76" i="4" s="1"/>
  <c r="Y73" i="4"/>
  <c r="Y76" i="4" s="1"/>
  <c r="AA72" i="4"/>
  <c r="Z72" i="4"/>
  <c r="Z101" i="4" s="1"/>
  <c r="W103" i="4" s="1"/>
  <c r="W77" i="4"/>
  <c r="AA79" i="4"/>
  <c r="W43" i="4"/>
  <c r="W27" i="4"/>
  <c r="W13" i="4"/>
  <c r="W11" i="4"/>
  <c r="W10" i="4"/>
  <c r="W63" i="4"/>
  <c r="W59" i="4"/>
  <c r="Y75" i="4" l="1"/>
  <c r="Y101" i="4"/>
  <c r="W102" i="4" s="1"/>
  <c r="AA101" i="4"/>
  <c r="W104" i="4" s="1"/>
  <c r="W74" i="4"/>
  <c r="Z75" i="4"/>
  <c r="W107" i="4"/>
  <c r="AB37" i="4"/>
  <c r="H100" i="4"/>
  <c r="W99" i="4"/>
  <c r="M99" i="4"/>
  <c r="L99" i="4"/>
  <c r="K99" i="4"/>
  <c r="J99" i="4"/>
  <c r="H99" i="4"/>
  <c r="H98" i="4"/>
  <c r="W97" i="4"/>
  <c r="H97" i="4"/>
  <c r="H95" i="4"/>
  <c r="W94" i="4"/>
  <c r="M94" i="4"/>
  <c r="L94" i="4"/>
  <c r="K94" i="4"/>
  <c r="J94" i="4"/>
  <c r="H94" i="4"/>
  <c r="H93" i="4"/>
  <c r="W92" i="4"/>
  <c r="H92" i="4"/>
  <c r="M90" i="4"/>
  <c r="L90" i="4"/>
  <c r="K90" i="4"/>
  <c r="H90" i="4"/>
  <c r="W89" i="4"/>
  <c r="M89" i="4"/>
  <c r="L89" i="4"/>
  <c r="K89" i="4"/>
  <c r="J89" i="4"/>
  <c r="H89" i="4"/>
  <c r="H88" i="4"/>
  <c r="W87" i="4"/>
  <c r="H87" i="4"/>
  <c r="H85" i="4"/>
  <c r="AA84" i="4"/>
  <c r="Z84" i="4"/>
  <c r="W84" i="4"/>
  <c r="H84" i="4"/>
  <c r="H83" i="4"/>
  <c r="W82" i="4"/>
  <c r="H82" i="4"/>
  <c r="W80" i="4"/>
  <c r="H80" i="4"/>
  <c r="Z79" i="4"/>
  <c r="Y79" i="4"/>
  <c r="M79" i="4"/>
  <c r="L79" i="4"/>
  <c r="K79" i="4"/>
  <c r="J79" i="4"/>
  <c r="H79" i="4"/>
  <c r="W78" i="4"/>
  <c r="H78" i="4"/>
  <c r="H76" i="4"/>
  <c r="AA75" i="4"/>
  <c r="W75" i="4"/>
  <c r="J75" i="4"/>
  <c r="K75" i="4" s="1"/>
  <c r="L75" i="4" s="1"/>
  <c r="M75" i="4" s="1"/>
  <c r="H75" i="4"/>
  <c r="M74" i="4"/>
  <c r="L74" i="4"/>
  <c r="K74" i="4"/>
  <c r="H74" i="4"/>
  <c r="W73" i="4"/>
  <c r="H73" i="4"/>
  <c r="H71" i="4"/>
  <c r="W70" i="4"/>
  <c r="H70" i="4"/>
  <c r="AA69" i="4"/>
  <c r="Z69" i="4"/>
  <c r="Y69" i="4"/>
  <c r="M69" i="4"/>
  <c r="L69" i="4"/>
  <c r="K69" i="4"/>
  <c r="J69" i="4"/>
  <c r="H69" i="4"/>
  <c r="W68" i="4"/>
  <c r="H68" i="4"/>
  <c r="W66" i="4"/>
  <c r="H66" i="4"/>
  <c r="AA65" i="4"/>
  <c r="Z65" i="4"/>
  <c r="Y65" i="4"/>
  <c r="M65" i="4"/>
  <c r="L65" i="4"/>
  <c r="K65" i="4"/>
  <c r="J65" i="4"/>
  <c r="H65" i="4"/>
  <c r="W64" i="4"/>
  <c r="H64" i="4"/>
  <c r="W62" i="4"/>
  <c r="H62" i="4"/>
  <c r="AA61" i="4"/>
  <c r="Z61" i="4"/>
  <c r="Y61" i="4"/>
  <c r="M61" i="4"/>
  <c r="L61" i="4"/>
  <c r="K61" i="4"/>
  <c r="J61" i="4"/>
  <c r="H61" i="4"/>
  <c r="W60" i="4"/>
  <c r="H60" i="4"/>
  <c r="H45" i="4"/>
  <c r="H44" i="4"/>
  <c r="M43" i="4"/>
  <c r="L43" i="4"/>
  <c r="K43" i="4"/>
  <c r="J43" i="4"/>
  <c r="H43" i="4"/>
  <c r="AB41" i="4"/>
  <c r="H42" i="4"/>
  <c r="H40" i="4"/>
  <c r="H39" i="4"/>
  <c r="M38" i="4"/>
  <c r="L38" i="4"/>
  <c r="K38" i="4"/>
  <c r="J38" i="4"/>
  <c r="H38" i="4"/>
  <c r="W34" i="4"/>
  <c r="H34" i="4"/>
  <c r="M33" i="4"/>
  <c r="L33" i="4"/>
  <c r="K33" i="4"/>
  <c r="J33" i="4"/>
  <c r="H33" i="4"/>
  <c r="W32" i="4"/>
  <c r="H32" i="4"/>
  <c r="W30" i="4"/>
  <c r="H30" i="4"/>
  <c r="M29" i="4"/>
  <c r="L29" i="4"/>
  <c r="K29" i="4"/>
  <c r="J29" i="4"/>
  <c r="H29" i="4"/>
  <c r="W28" i="4"/>
  <c r="H28" i="4"/>
  <c r="H24" i="4"/>
  <c r="W23" i="4"/>
  <c r="M23" i="4"/>
  <c r="L23" i="4"/>
  <c r="K23" i="4"/>
  <c r="J23" i="4"/>
  <c r="H23" i="4"/>
  <c r="H22" i="4"/>
  <c r="W21" i="4"/>
  <c r="H21" i="4"/>
  <c r="H19" i="4"/>
  <c r="W18" i="4"/>
  <c r="H18" i="4"/>
  <c r="M17" i="4"/>
  <c r="L17" i="4"/>
  <c r="K17" i="4"/>
  <c r="J17" i="4"/>
  <c r="H17" i="4"/>
  <c r="W16" i="4"/>
  <c r="H16" i="4"/>
  <c r="H14" i="4"/>
  <c r="J13" i="4"/>
  <c r="K13" i="4" s="1"/>
  <c r="L13" i="4" s="1"/>
  <c r="M13" i="4" s="1"/>
  <c r="H13" i="4"/>
  <c r="K12" i="4"/>
  <c r="H12" i="4"/>
  <c r="H11" i="4"/>
  <c r="W106" i="4" l="1"/>
  <c r="W108" i="4"/>
  <c r="H20" i="4"/>
  <c r="W15" i="4"/>
  <c r="AB15" i="4" s="1"/>
  <c r="H91" i="4"/>
  <c r="W86" i="4"/>
  <c r="AB86" i="4" s="1"/>
  <c r="AB77" i="4"/>
  <c r="AB31" i="4"/>
  <c r="H96" i="4"/>
  <c r="H10" i="4"/>
  <c r="W96" i="4"/>
  <c r="H59" i="4"/>
  <c r="H15" i="4"/>
  <c r="H63" i="4"/>
  <c r="H67" i="4"/>
  <c r="W91" i="4"/>
  <c r="AB91" i="4" s="1"/>
  <c r="AB63" i="4"/>
  <c r="W67" i="4"/>
  <c r="AB67" i="4" s="1"/>
  <c r="H72" i="4"/>
  <c r="H86" i="4"/>
  <c r="H106" i="4"/>
  <c r="H36" i="4"/>
  <c r="H107" i="4"/>
  <c r="W20" i="4"/>
  <c r="AB20" i="4" s="1"/>
  <c r="H81" i="4"/>
  <c r="W72" i="4"/>
  <c r="AB72" i="4" s="1"/>
  <c r="H108" i="4"/>
  <c r="H37" i="4"/>
  <c r="H41" i="4"/>
  <c r="H77" i="4"/>
  <c r="W81" i="4"/>
  <c r="AB81" i="4" s="1"/>
  <c r="H27" i="4"/>
  <c r="AB59" i="4"/>
  <c r="H31" i="4"/>
  <c r="AB27" i="4"/>
  <c r="W36" i="4"/>
  <c r="H103" i="4"/>
  <c r="AB10" i="4"/>
  <c r="H104" i="4"/>
  <c r="H102" i="4"/>
  <c r="W101" i="4" l="1"/>
  <c r="W105" i="4"/>
  <c r="AB96" i="4"/>
  <c r="H35" i="4"/>
  <c r="H105" i="4"/>
  <c r="H101" i="4"/>
  <c r="W35" i="4"/>
</calcChain>
</file>

<file path=xl/sharedStrings.xml><?xml version="1.0" encoding="utf-8"?>
<sst xmlns="http://schemas.openxmlformats.org/spreadsheetml/2006/main" count="414" uniqueCount="186">
  <si>
    <t>Заходи програми</t>
  </si>
  <si>
    <t>Джерела фінансування</t>
  </si>
  <si>
    <t>Всього</t>
  </si>
  <si>
    <t>Бюджет міста Києва</t>
  </si>
  <si>
    <t>Перелік завдань і заходів</t>
  </si>
  <si>
    <t>Оперативна ціль Стратегії розвитку міста Києва</t>
  </si>
  <si>
    <t>Завдання програми</t>
  </si>
  <si>
    <t>Виконавці заходу</t>
  </si>
  <si>
    <t>Очікуваний результат (результативні показники)</t>
  </si>
  <si>
    <t>Назва показника</t>
  </si>
  <si>
    <t>Додаток 1 до Програми</t>
  </si>
  <si>
    <t>Всього:</t>
  </si>
  <si>
    <t xml:space="preserve">2022 рік </t>
  </si>
  <si>
    <t>2022 рік</t>
  </si>
  <si>
    <t>2023 рік</t>
  </si>
  <si>
    <t>2024 рік</t>
  </si>
  <si>
    <t>2025 рік</t>
  </si>
  <si>
    <t xml:space="preserve">2023 рік </t>
  </si>
  <si>
    <t xml:space="preserve">2024 рік </t>
  </si>
  <si>
    <t xml:space="preserve">2025 рік </t>
  </si>
  <si>
    <t>чоловіки, осіб</t>
  </si>
  <si>
    <t>жінки, осіб</t>
  </si>
  <si>
    <t>в тому числі жінок, осіб</t>
  </si>
  <si>
    <t>Департамент охорони здоров'я, заклади охорони здоров'я, що засновані на комунальній власності територіальної громади м. Києва.</t>
  </si>
  <si>
    <t>РАЗОМ</t>
  </si>
  <si>
    <t>показник продукту: кількість осіб, у яких вперше виявлено ВІЛ-інфекцію, осіб</t>
  </si>
  <si>
    <t>2.1. Діагностика туберкульозу та латентної туберкульозної інфекції у дітей віком від 1 до 17 років шляхом проведення туберкулінодіагностики</t>
  </si>
  <si>
    <t>2022 - 2025</t>
  </si>
  <si>
    <t>показник продукту: середньорічна кількість жінок, які будуть забезпечені антирезусним імуноглобуліном, осіб</t>
  </si>
  <si>
    <t>показник якості: кількість випадків смерті немовлят від гемолітичної хвороби новонароджених, од.</t>
  </si>
  <si>
    <t>2022-2025</t>
  </si>
  <si>
    <t>Департамент охорони здоров'я, заклади охорони здоров'я, що засновані на комунальній власності територіальної громади м. Києва</t>
  </si>
  <si>
    <t>показник якості: відсоток позитивних результатів на гепатит С із числа обстежених, %</t>
  </si>
  <si>
    <t xml:space="preserve">2.3. Проведення зовнішнього контролю якості бактеріоскопічної діагностики туберкульозу в лабораторіях І рівня </t>
  </si>
  <si>
    <t>показник якості: відсоток позитивних результатів на гепатит В із числа обстежених, %</t>
  </si>
  <si>
    <t xml:space="preserve">3.12. Профілактика  гемолітичних хвороб новонароджених відповідно до клінічного протоколу </t>
  </si>
  <si>
    <t xml:space="preserve"> 3.14. Профілактика розвитку цервікального раку шийки матки </t>
  </si>
  <si>
    <t>показник продукту:  кількість дівчаток від 10 до 14 років життя, що підлягають вакцинації, осіб</t>
  </si>
  <si>
    <t>показник продукту:  кількість дівчаток від 10 до 14 років життя, які будуть вакциновані, осіб</t>
  </si>
  <si>
    <t>показник ефективності: середні витрати на одне дослідження, грн.</t>
  </si>
  <si>
    <t>показник продукту: кількість проведених скринінгових досліджень, од.</t>
  </si>
  <si>
    <t>показник продукту: кількість проведених досліджень, од.</t>
  </si>
  <si>
    <t>РАЗОМ на 2022-2025 роки</t>
  </si>
  <si>
    <t xml:space="preserve">3.8. Скринінг населення на гепатит В за групами ризику, визначеними  стандартами медичної
допомоги </t>
  </si>
  <si>
    <t xml:space="preserve">3.9. Скринінг населення на гепатит С за групами ризику, визначеними  стандартами медичної
допомоги </t>
  </si>
  <si>
    <t xml:space="preserve">1.1. Надання особам, які вживають наркотики ін’єкційно, замісної підтримувальної терапії  </t>
  </si>
  <si>
    <t>показник ефективності: середні витрати на одну особу на рік, грн</t>
  </si>
  <si>
    <t>показник продукту: кількість дітей першого року життя, народжених ВІЛ-інфікованими матерями,  осіб</t>
  </si>
  <si>
    <t>показник ефективності: вартість вигодовування 1 дитини на рік, грн</t>
  </si>
  <si>
    <t xml:space="preserve">1.3. Тестування населення на ВІЛ-інфекцію </t>
  </si>
  <si>
    <t xml:space="preserve">показник ефективності: середня вартість тестування однієї особи, грн. </t>
  </si>
  <si>
    <t xml:space="preserve">1.4. Медикаментозна профілактика опортуністичних інфекцій у людей, які живуть з ВІЛ </t>
  </si>
  <si>
    <t>показник продукту: кількість осіб, які  отримують медикаментозну профілактику опортуністичних інфекцій, осіб</t>
  </si>
  <si>
    <t>2.2. Виявлення туберкульозу шляхом проведення профілактичних оглядів населення на пересувних цифрових флюорографах</t>
  </si>
  <si>
    <t>показник продукту: кількість осіб,охоплених замісною підтримувальною терапією, осіб</t>
  </si>
  <si>
    <t>показник якості: динаміка перерваного лікування серед хворих на туберкульоз, які лікуються амбулаторно, %</t>
  </si>
  <si>
    <t>показник продукту: кількість підготовлених інформаційних матеріалів, одиниць</t>
  </si>
  <si>
    <t>міської цільової програми "Громадське здоров'я" на 2022-2025 роки</t>
  </si>
  <si>
    <t>Строки виконання заходу</t>
  </si>
  <si>
    <t>Обсяги фінансування, (тис. грн)</t>
  </si>
  <si>
    <t>показник ефективності: середня вартість медикоментозної профілактики однієї особи, грн</t>
  </si>
  <si>
    <t>показник ефективності: середній розмір витрат на 1 особу, грн</t>
  </si>
  <si>
    <t>показник якості: рівень відповідності результатів зовнішнього контролю якості рекомендаціям ВООЗ , %</t>
  </si>
  <si>
    <t>показник продукту кількість продуктових наборів, одиниць</t>
  </si>
  <si>
    <t>показник ефективності: середні витрати на  обстеження однієї особи,  грн</t>
  </si>
  <si>
    <t>показник ефективності: середні витрати на одного пацієнта,  грн</t>
  </si>
  <si>
    <t>показник ефективності: середня вартість  вакцинаціі однієї дитини,  грн</t>
  </si>
  <si>
    <t>показник якості: рівень охоплення вакцинацією дівчаток цільової групи, %</t>
  </si>
  <si>
    <t>показник якості: частка осіб, у яких виявлено підозру на гемотрансмісивні інфекції з числа обстежених, %</t>
  </si>
  <si>
    <t>показник якості: рівень охоплення дослідженнями жінок, які потребують  повторного обстеження, %</t>
  </si>
  <si>
    <t>показник якості: рівень забезпечення дітей, народжених  від ВІЛ-інфікованих жінок, харчуванням (%)</t>
  </si>
  <si>
    <t>показник якості: рівень забезпечення людей, які живуть з ВІЛ, замісною підтримувальною терапією,  %</t>
  </si>
  <si>
    <t>1.2. Забезпечення дітей першого року життя адаптованими молочними сумішами з метою зменшення рівня передачі ВІЛ-інфекції  від інфікованої матері до дитини</t>
  </si>
  <si>
    <t>показник продукту: кількість осіб, яким планується проведення тестування, осіб</t>
  </si>
  <si>
    <t>показник якості: відсоток позитивних результатів тестування на ВІЛ-інфекцію у відсотках до запланованого обсягу протестованих (%)</t>
  </si>
  <si>
    <t>показник якості: питома вага осіб, охоплених медичним спостереженням із числа вперше  виявленних (%)</t>
  </si>
  <si>
    <t>показник якості: рівень забезпечення  людей, які живуть з ВІЛ, засобами медичної профілактики у відсотках до кількості осіб, що її потребують (%)</t>
  </si>
  <si>
    <t>показник якості: рівень охоплення дітей віком від 1 до 17 років туберкулінодіагностикою, %</t>
  </si>
  <si>
    <t>показник якості: рівень  охоплення профілактичними оглядами, %</t>
  </si>
  <si>
    <t>показник продукту кількість лабораторій, одиниць</t>
  </si>
  <si>
    <t xml:space="preserve">показник ефективності: середній розмір витрат на проведення однієї перевірки, грн  </t>
  </si>
  <si>
    <t>показник продукту:  кількість осіб, яким передбачається проведення обстеження на гепатит С, осіб</t>
  </si>
  <si>
    <t>показник продукту:  кількість осіб, яким передбачається проведення обстеження на гепатит В, осіб</t>
  </si>
  <si>
    <t>показник ефективності: середні витрати на обстеження одного пацієнта,  грн</t>
  </si>
  <si>
    <t xml:space="preserve">3.16. Скринінг донорської крові та її компонентів на наявність маркерів гемотрансмісивних інфекцій. </t>
  </si>
  <si>
    <t>показник ефективності: середня вартість проведення однієї експертизи результатів скринінгу, грн.</t>
  </si>
  <si>
    <t xml:space="preserve">3.19.  Проведення експертизи результатів скринінгу раку молочної залози </t>
  </si>
  <si>
    <t>показник продукту: кількість результатів мамографії, які потребують повторного розгляду (проведення експертизи), од.</t>
  </si>
  <si>
    <t>показник якості:  рівень поінформованості населення м.Києва, %</t>
  </si>
  <si>
    <t>показник продукту: кількість нозологій (захворювань) по яких будуть підготовлені інформаційні матеріали, одиниць</t>
  </si>
  <si>
    <t>показник ефективності: середня вартість  інформаційних матеріалів по одній нозології, тис. грн.</t>
  </si>
  <si>
    <t>4.1. Створення та супровід інформаційної платформи (системи)  статистичних даних про стан здоров'я населення та діяльність закладів охорони здоров'я</t>
  </si>
  <si>
    <t>показник продукту:  кількість модулів платформи, одиниць</t>
  </si>
  <si>
    <t>показник продукту:  кількість користувачів, одиниць</t>
  </si>
  <si>
    <t>показник ефективності: середні витрати на створення та супровід модуля,  тис. грн</t>
  </si>
  <si>
    <t>показник витрат: обсяг видатків, тис. грн</t>
  </si>
  <si>
    <t>показник якості: питома вага жінок, охоплених медичним спостереженням із числа вперше виявленних (%)</t>
  </si>
  <si>
    <t>показник ефективності: середня вартість  профілактичних засобів на одну пацієнтку, грн.</t>
  </si>
  <si>
    <t>5.2. Підвищення рівня поінформованості населення з питань запобігання та профілактики інфекційних захворювань шляхом  виготовлення і розповсюдження відео та поліграфічної продукції.</t>
  </si>
  <si>
    <t>5.1. Підвищення рівня поінформованості населення з питань запобігання та профілактики неінфекційних захворювань шляхом виготовлення і розповсюдження  відео та поліграфічної продукції.</t>
  </si>
  <si>
    <t>показник продукту: кількість дітей віком від 1 до 17 років, які потребують проведення туберкулінодіагностики, осіб</t>
  </si>
  <si>
    <t>показник якості: динаміка кількості користувачів у порівнянні з попереднім роком, %</t>
  </si>
  <si>
    <t>Департамент охорони здоров'я, заклади охорони здоров'я, що засновані на комунальній власності територіальної громади м. Києва, КНП "КМІАЦ МС"</t>
  </si>
  <si>
    <t>Департамент охорони здоров'я, КНП «Київська міська клінічна лікарня № 5»,  заклади охорони здоровя, що засновані на комунальній власності територіальної громади міста Києва</t>
  </si>
  <si>
    <t>Департамент охорони здоров'я, КНП «Київська міська клінічна лікарня № 5»,  заклади охорони здоровя,  що засновані на комунальній власності територіальної громади міста Києва</t>
  </si>
  <si>
    <t>Департамент охорони здоров'я, КНП "ФТИЗІАТРІЯ", заклади охорони здоров'я, що засновані на комунальній власності територіальної громади міста Києва</t>
  </si>
  <si>
    <t>Департамент охорони здоров'я,  КНП "ФТИЗІАТРІЯ", заклади охорони здоров', що засновані на комунальній власності територіальної громади міста Києва</t>
  </si>
  <si>
    <t>чинна редакція</t>
  </si>
  <si>
    <t>показник якості: рівень охоплення осіб з груп ризику туберкулінодіагностикою, %</t>
  </si>
  <si>
    <t xml:space="preserve">2026 рік </t>
  </si>
  <si>
    <t xml:space="preserve">2027 рік </t>
  </si>
  <si>
    <t xml:space="preserve">2028 рік </t>
  </si>
  <si>
    <t xml:space="preserve">1.1 Надання особам, які вживають наркотики ін’єкційно, замісної підтримувальної терапії  </t>
  </si>
  <si>
    <t>2026-2028</t>
  </si>
  <si>
    <t>2026 - 2028</t>
  </si>
  <si>
    <t>показник ефективності: середня вартість одного продуктового набору,  грн</t>
  </si>
  <si>
    <t>РАЗОМ на 2026-2028 роки</t>
  </si>
  <si>
    <t>показник якості:  рівень поінформованості населення м. Києва, %</t>
  </si>
  <si>
    <t>міської цільової програми "Громадське здоров'я" на 2026-2028 роки</t>
  </si>
  <si>
    <t>1.5 Діагностика  латентної туберкульозної інфекції у осіб з груп ризику розвитку туберкульозу шляхом проведення туберкулінодіагностики</t>
  </si>
  <si>
    <t>показник ефективності: середні витрати на одну особу на рік,  грн</t>
  </si>
  <si>
    <t>показник якості: рівень охоплення дослідженнями пацієнтів, які потребують  повторного обстеження, %</t>
  </si>
  <si>
    <t xml:space="preserve">2.1 Скринінг населення на гепатит В за групами ризику, визначеними  стандартами медичної
допомоги </t>
  </si>
  <si>
    <t xml:space="preserve">2.2 Скринінг населення на гепатит С за групами ризику, визначеними  стандартами медичної
допомоги </t>
  </si>
  <si>
    <t>1 Профілактика, рання діагностика та лікування інфекційних, соціально небезпечних захворювань у жінок і чоловіків (ВІЛ-інфекції / СНІДу, туберкульозу, хронічних вірусних гепатитів, керованих інфекцій)</t>
  </si>
  <si>
    <t>2 Профілактика, рання діагностика та лікування неінфекційних захворювань у жінок і чоловіків із застосуванням новітніх технологій</t>
  </si>
  <si>
    <t>3 Формування культури відповідального ставлення до власного здоров’я серед дівчат / хлопців, жінок / чоловіків</t>
  </si>
  <si>
    <t>Профілактика та раннє виявлення захворювань, заохочення до здорового способу життя</t>
  </si>
  <si>
    <t>показник якості: рівень забезпечення  людей, які живуть з ВІЛ, засобами медичної профілактики у відсотках до кількості осіб, що її потребують, %</t>
  </si>
  <si>
    <t>показник ефективності: середні витрати на забезпечення  одного хворого продуктовими наборами, грн</t>
  </si>
  <si>
    <t>показник продукту:  кількість пацієнтів з позитивним результатом на вірусний гепатит С, які потребують обстеження, осіб</t>
  </si>
  <si>
    <t>показник продукту:  кількість пацієнтів з позитивним результатом на вірусний гепатит В, які потребують обстеження, осіб</t>
  </si>
  <si>
    <t>показник ефективності: середня вартість  профілактичних засобів на одну пацієнтку, грн</t>
  </si>
  <si>
    <t>показник якості: відсоток позитивних результатів на гепатит С  з числа обстежених, %</t>
  </si>
  <si>
    <t>3.1. Підвищення рівня поінформованості населення з питань запобігання та профілактики неінфекційних захворювань шляхом виготовлення і розповсюдження  відео та поліграфічної продукції</t>
  </si>
  <si>
    <t>3.2 Підвищення рівня поінформованості населення з питань запобігання та профілактики інфекційних захворювань шляхом  виготовлення і розповсюдження відео та поліграфічної продукції</t>
  </si>
  <si>
    <t xml:space="preserve">3.3 Пропаганда здорового способу життя шляхом виготовлення і розповсюдження відео та поліграфічної продукції (тютюнопаління, алкоголізм, наркоманія, надмірна вага, фізична активність, небезпечний секс, вакцинація, тощо) </t>
  </si>
  <si>
    <t>показник якості: відсоток позитивних результатів на гепатит В з числа обстежених, %</t>
  </si>
  <si>
    <t>показник якості: рівень забезпечення людей, які живуть з ВІЛ, замісною підтримувальною терапією, у  % до запланованого</t>
  </si>
  <si>
    <t>показник ефективності: середні витрати на вигодовування 1 дитини на рік,   грн</t>
  </si>
  <si>
    <t>показник якості: рівень забезпечення дітей, народжених  від ВІЛ-інфікованих жінок, харчуванням, у % до запланованого</t>
  </si>
  <si>
    <t xml:space="preserve">показник ефективності: середні витрати на  тестування однієї особи,   грн. </t>
  </si>
  <si>
    <t>показник якості: відсоток позитивних результатів тестування на ВІЛ-інфекцію у відсотках до запланованого обсягу протестованих, %</t>
  </si>
  <si>
    <t>показник якості: питома вага осіб, охоплених медичним спостереженням із числа вперше  виявленних, %</t>
  </si>
  <si>
    <t>показник якості: питома вага жінок, охоплених медичним спостереженням із числа вперше виявленних, %</t>
  </si>
  <si>
    <t>показник ефективності: середні витрати на проведення медикоментозної профілактики однієї особи,  грн</t>
  </si>
  <si>
    <t>показник продукту: кількість осіб з  груп ризику, які потребують проведення туберкулінодіагностики, осіб</t>
  </si>
  <si>
    <t>показник ефективності: середні витрати  на  проведення туберкулінодіагностики однієї особи,  грн</t>
  </si>
  <si>
    <t>кількість хворих на туберкульоз, які забезпечені продуктовими наборами, осіб,
з них :</t>
  </si>
  <si>
    <t xml:space="preserve">1.6. Заохочення людей, які хворіють на туберкульоз, до безперервного амбулаторного лікування шляхом надання продуктових наборів </t>
  </si>
  <si>
    <t>1.7 Діагностика  пацієнтів з позитивним результатом
обстеження на вірусний гепатит В</t>
  </si>
  <si>
    <t>показник якості: рівень охоплення пацієнтів з позитивним результатом на вірусний гепатит В лабораторною діагностикою, у % до потреби</t>
  </si>
  <si>
    <t>показник якості: рівень охоплення пацієнтів з позитивним результатом на вірусний гепатит С лабораторною діагностикою, у % до потреби</t>
  </si>
  <si>
    <t xml:space="preserve">2.3 Профілактика  гемолітичних хвороб новонароджених відповідно до клінічного протоколу </t>
  </si>
  <si>
    <t>2.4 Вакцинація з метою профилактики захворювань, що спричиняє папілома вірус людини</t>
  </si>
  <si>
    <t>показник ефективності: середні витрати на  вакцинацію однієї дитини,  грн</t>
  </si>
  <si>
    <t>показник якості: рівень охоплення вакцинацією дівчаток цільової групи, у % до потреби</t>
  </si>
  <si>
    <t>показник ефективності: середні витрати на проведення одного дослідження, грн</t>
  </si>
  <si>
    <t>показник ефективності: середні витрати на проведення однієї експертизи результатів скринінгу, грн.</t>
  </si>
  <si>
    <t xml:space="preserve">2.5 Скринінг донорської крові та її компонентів на наявність маркерів гемотрансмісивних інфекцій. </t>
  </si>
  <si>
    <t xml:space="preserve">2.6 Проведення експертизи результатів скринінгу раку молочної залози </t>
  </si>
  <si>
    <t>1.8 Діагностика пацієнтів з позитивним результатом
обстеження на вірусний гепатит С</t>
  </si>
  <si>
    <t>1.9 Діагностика ВІЛ-інфекції, супроводу АРТ та моніторингу перебігу ВІЛ-інфекції у хворих, визначення резистентності вірусу, проведення референт-досліджень</t>
  </si>
  <si>
    <t>показник продукту: кількість нозологій (захворювань), щодо яких будуть підготовлені інформаційні матеріали, одиниць</t>
  </si>
  <si>
    <t>показник продукту: кількість нозологій (захворювань), щодо яких будуть виготовлені інформаційні матеріали, одиниць</t>
  </si>
  <si>
    <t>показник продукту: кількість виготовлених інформаційних матеріалів, одиниць</t>
  </si>
  <si>
    <t>показник ефективності: середня вартість  виготовлнених інформаційних матеріалів,  грн.</t>
  </si>
  <si>
    <t>показник ефективності: середня вартість  виготовлення одного інформаційного матеріалу,  грн.</t>
  </si>
  <si>
    <t>показник ефективності: середня вартість виготовлення одного інформаційного матеріалу,  грн.</t>
  </si>
  <si>
    <t>до міської цільової програми "Громадське здоров'я" на 2026-2026 роки</t>
  </si>
  <si>
    <t>Київський міський голова                                                                                                    Віталій КЛИЧКО</t>
  </si>
  <si>
    <t>показник продукту: кількість проведених скринінгових досліджень, одиниць</t>
  </si>
  <si>
    <t>показник продукту: кількість проведених експертиз, одиниць</t>
  </si>
  <si>
    <t>показник продукту: кількість результатів мамографії, які потребують повторного розгляду (проведення експертизи), одиниць</t>
  </si>
  <si>
    <t>Департамент охорони здоров'я міста Києва, КНП «Київська міська клінічна лікарня № 5»,  заклади охорони здоров'я, засновані на комунальній власності територіальної громади міста Києва</t>
  </si>
  <si>
    <t>Департамент охорони здоров'я міста Києва, КНП «Київська міська клінічна лікарня № 5»,  заклади охорони здоров'я, що засновані на комунальній власності територіальної громади міста Києва, КНП «Київська міська клінічна лікарня № 10»</t>
  </si>
  <si>
    <t>Департамент охорони здоров'я міста Києва, КНП "Київський фтізіопульмологічний центр", заклади охорони здоров'я, що засновані на комунальній власності територіальної громади міста Києва</t>
  </si>
  <si>
    <t>Департамент охорони здоров'я міста Києва,  КНП "Київський фтізіопульмологічний центр", заклади охорони здоров'я, що засновані на комунальній власності територіальної громади міста Києва</t>
  </si>
  <si>
    <t>Департамент охорони здоров'я міста Києва, заклади охорони здоров'я, що засновані на комунальній власності територіальної громади міста Києва.</t>
  </si>
  <si>
    <t>Департамент охорони здоров'я міста Києва, заклади охорони здоров'я, що засновані на комунальній власності територіальної громади м. Києва. КНП -«Перинатальний центр м. Києва"</t>
  </si>
  <si>
    <t>Департамент охорони здоров'я міста Києва, заклади охорони здоров'я, що засновані на комунальній власності територіальної громади міста Києва</t>
  </si>
  <si>
    <t>Департамент охорони здоров'я міста Києва, заклади охорони здоров'я, що засновані на комунальній власності територіальної громади міста Києва, КНП "Київський міський клінічний онкологічний центр"</t>
  </si>
  <si>
    <t>Департамент охорони здоров'я міста Києва, заклади охорони здоров'я, що засновані на комунальній власності територіальної громади міста Києва,  КНП «Київський міський центр крові"</t>
  </si>
  <si>
    <t>Департамент охорони здоров'я міста Києва, заклади охорони здоров'я, що засновані на комунальній власності територіальної громади міста Києва, КНП "КМІАЦ МС"</t>
  </si>
  <si>
    <t>Департамент охорони здоров'яміста Києва, заклади охорони здоров'я, що засновані на комунальній власності територіальної громади міста Києва</t>
  </si>
  <si>
    <t xml:space="preserve">                            Додаток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</si>
</sst>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6100"/>
      <name val="Times New Roman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2" borderId="0" applyNumberFormat="0" applyBorder="0" applyAlignment="0" applyProtection="0"/>
  </cellStyleXfs>
  <cellXfs count="659">
    <xf numFmtId="0" fontId="0" fillId="0" borderId="0" xfId="0"/>
    <xf numFmtId="0" fontId="1" fillId="0" borderId="0" xfId="0" applyFont="1"/>
    <xf numFmtId="0" fontId="5" fillId="3" borderId="0" xfId="0" applyFont="1" applyFill="1"/>
    <xf numFmtId="0" fontId="5" fillId="0" borderId="0" xfId="0" applyFont="1"/>
    <xf numFmtId="4" fontId="1" fillId="0" borderId="0" xfId="0" applyNumberFormat="1" applyFont="1"/>
    <xf numFmtId="4" fontId="4" fillId="0" borderId="0" xfId="0" applyNumberFormat="1" applyFont="1"/>
    <xf numFmtId="0" fontId="1" fillId="3" borderId="0" xfId="0" applyFont="1" applyFill="1"/>
    <xf numFmtId="164" fontId="1" fillId="3" borderId="0" xfId="0" applyNumberFormat="1" applyFont="1" applyFill="1"/>
    <xf numFmtId="164" fontId="6" fillId="3" borderId="0" xfId="0" applyNumberFormat="1" applyFont="1" applyFill="1"/>
    <xf numFmtId="0" fontId="1" fillId="0" borderId="0" xfId="0" applyFont="1" applyBorder="1"/>
    <xf numFmtId="4" fontId="7" fillId="0" borderId="63" xfId="0" applyNumberFormat="1" applyFont="1" applyBorder="1" applyAlignment="1">
      <alignment horizontal="center" vertical="center" wrapText="1"/>
    </xf>
    <xf numFmtId="0" fontId="1" fillId="3" borderId="0" xfId="0" applyFont="1" applyFill="1" applyBorder="1"/>
    <xf numFmtId="4" fontId="4" fillId="0" borderId="0" xfId="0" applyNumberFormat="1" applyFont="1" applyBorder="1"/>
    <xf numFmtId="0" fontId="4" fillId="0" borderId="6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9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1" fontId="11" fillId="0" borderId="63" xfId="0" applyNumberFormat="1" applyFont="1" applyBorder="1" applyAlignment="1">
      <alignment horizontal="center" vertical="center" wrapText="1"/>
    </xf>
    <xf numFmtId="1" fontId="11" fillId="0" borderId="63" xfId="0" applyNumberFormat="1" applyFont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top" wrapText="1"/>
    </xf>
    <xf numFmtId="0" fontId="4" fillId="0" borderId="61" xfId="0" applyFont="1" applyBorder="1" applyAlignment="1">
      <alignment horizontal="center" vertical="top" wrapText="1"/>
    </xf>
    <xf numFmtId="0" fontId="4" fillId="0" borderId="66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vertical="center" wrapText="1"/>
    </xf>
    <xf numFmtId="164" fontId="4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vertical="center" wrapText="1"/>
    </xf>
    <xf numFmtId="0" fontId="4" fillId="0" borderId="5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7" fillId="0" borderId="73" xfId="1" applyFont="1" applyBorder="1" applyAlignment="1">
      <alignment horizontal="center" vertical="center" wrapText="1"/>
    </xf>
    <xf numFmtId="4" fontId="7" fillId="0" borderId="63" xfId="0" applyNumberFormat="1" applyFont="1" applyBorder="1" applyAlignment="1">
      <alignment horizontal="center" vertical="center"/>
    </xf>
    <xf numFmtId="0" fontId="7" fillId="0" borderId="64" xfId="0" applyFont="1" applyBorder="1" applyAlignment="1">
      <alignment vertical="center" wrapText="1"/>
    </xf>
    <xf numFmtId="164" fontId="7" fillId="0" borderId="73" xfId="0" applyNumberFormat="1" applyFont="1" applyBorder="1" applyAlignment="1">
      <alignment horizontal="center" vertical="center"/>
    </xf>
    <xf numFmtId="4" fontId="7" fillId="0" borderId="73" xfId="0" applyNumberFormat="1" applyFont="1" applyBorder="1" applyAlignment="1">
      <alignment horizontal="center" vertical="center"/>
    </xf>
    <xf numFmtId="4" fontId="7" fillId="0" borderId="62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3" borderId="9" xfId="0" applyFont="1" applyFill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vertical="center" wrapText="1"/>
    </xf>
    <xf numFmtId="9" fontId="4" fillId="0" borderId="17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9" fontId="4" fillId="0" borderId="19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166" fontId="4" fillId="0" borderId="17" xfId="0" applyNumberFormat="1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7" fillId="0" borderId="63" xfId="1" applyFont="1" applyBorder="1" applyAlignment="1">
      <alignment horizontal="center" vertical="center" wrapText="1"/>
    </xf>
    <xf numFmtId="4" fontId="7" fillId="0" borderId="69" xfId="0" applyNumberFormat="1" applyFont="1" applyBorder="1" applyAlignment="1">
      <alignment horizontal="center" vertical="center"/>
    </xf>
    <xf numFmtId="0" fontId="7" fillId="0" borderId="63" xfId="0" applyFont="1" applyBorder="1" applyAlignment="1">
      <alignment vertical="center" wrapText="1"/>
    </xf>
    <xf numFmtId="4" fontId="7" fillId="0" borderId="64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horizontal="left" vertical="center" wrapText="1"/>
    </xf>
    <xf numFmtId="0" fontId="13" fillId="0" borderId="52" xfId="0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164" fontId="4" fillId="0" borderId="6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36" xfId="0" applyFont="1" applyBorder="1" applyAlignment="1">
      <alignment vertical="center" wrapText="1"/>
    </xf>
    <xf numFmtId="9" fontId="4" fillId="0" borderId="65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9" fontId="4" fillId="0" borderId="28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30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/>
    </xf>
    <xf numFmtId="0" fontId="4" fillId="0" borderId="29" xfId="1" applyFont="1" applyBorder="1" applyAlignment="1">
      <alignment horizontal="center" vertical="center" wrapText="1"/>
    </xf>
    <xf numFmtId="166" fontId="4" fillId="0" borderId="28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wrapText="1"/>
    </xf>
    <xf numFmtId="0" fontId="7" fillId="0" borderId="75" xfId="1" applyFont="1" applyBorder="1" applyAlignment="1">
      <alignment horizontal="center" vertical="center" wrapText="1"/>
    </xf>
    <xf numFmtId="4" fontId="7" fillId="0" borderId="75" xfId="0" applyNumberFormat="1" applyFont="1" applyBorder="1" applyAlignment="1">
      <alignment horizontal="center" vertical="center"/>
    </xf>
    <xf numFmtId="4" fontId="7" fillId="0" borderId="7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 wrapText="1"/>
    </xf>
    <xf numFmtId="0" fontId="4" fillId="0" borderId="69" xfId="1" applyFont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16" xfId="0" applyNumberFormat="1" applyFont="1" applyBorder="1" applyAlignment="1">
      <alignment horizontal="center" vertical="center"/>
    </xf>
    <xf numFmtId="0" fontId="4" fillId="0" borderId="7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37" xfId="1" applyFont="1" applyBorder="1" applyAlignment="1">
      <alignment vertical="center" wrapText="1"/>
    </xf>
    <xf numFmtId="0" fontId="4" fillId="0" borderId="19" xfId="1" applyFont="1" applyBorder="1" applyAlignment="1">
      <alignment vertical="center" wrapText="1"/>
    </xf>
    <xf numFmtId="166" fontId="4" fillId="0" borderId="19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46" xfId="0" applyFont="1" applyBorder="1" applyAlignment="1">
      <alignment vertical="center" wrapText="1"/>
    </xf>
    <xf numFmtId="3" fontId="4" fillId="0" borderId="40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65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9" fontId="4" fillId="0" borderId="51" xfId="0" applyNumberFormat="1" applyFont="1" applyBorder="1" applyAlignment="1">
      <alignment horizontal="center" vertical="center"/>
    </xf>
    <xf numFmtId="9" fontId="4" fillId="0" borderId="23" xfId="0" applyNumberFormat="1" applyFont="1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166" fontId="4" fillId="0" borderId="33" xfId="0" applyNumberFormat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 wrapText="1"/>
    </xf>
    <xf numFmtId="0" fontId="4" fillId="0" borderId="50" xfId="0" applyFont="1" applyBorder="1" applyAlignment="1">
      <alignment vertical="center" wrapText="1"/>
    </xf>
    <xf numFmtId="4" fontId="4" fillId="0" borderId="12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0" fontId="7" fillId="0" borderId="63" xfId="1" applyFont="1" applyFill="1" applyBorder="1" applyAlignment="1">
      <alignment horizontal="center" vertical="center" wrapText="1"/>
    </xf>
    <xf numFmtId="4" fontId="7" fillId="0" borderId="75" xfId="0" applyNumberFormat="1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vertical="center" wrapText="1"/>
    </xf>
    <xf numFmtId="4" fontId="7" fillId="0" borderId="59" xfId="0" applyNumberFormat="1" applyFont="1" applyFill="1" applyBorder="1" applyAlignment="1">
      <alignment horizontal="center" vertical="center"/>
    </xf>
    <xf numFmtId="4" fontId="7" fillId="0" borderId="63" xfId="0" applyNumberFormat="1" applyFont="1" applyFill="1" applyBorder="1" applyAlignment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4" fontId="4" fillId="0" borderId="76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4" fillId="0" borderId="68" xfId="0" applyFont="1" applyFill="1" applyBorder="1" applyAlignment="1">
      <alignment vertical="center" wrapText="1"/>
    </xf>
    <xf numFmtId="9" fontId="4" fillId="0" borderId="4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4" fontId="7" fillId="0" borderId="6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4" fontId="7" fillId="0" borderId="61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0" xfId="1" applyFont="1" applyFill="1" applyBorder="1" applyAlignment="1">
      <alignment horizontal="center" vertical="center" wrapText="1"/>
    </xf>
    <xf numFmtId="4" fontId="7" fillId="0" borderId="74" xfId="1" applyNumberFormat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1" xfId="1" applyFont="1" applyFill="1" applyBorder="1" applyAlignment="1">
      <alignment horizontal="center" vertical="center" wrapText="1"/>
    </xf>
    <xf numFmtId="0" fontId="4" fillId="0" borderId="61" xfId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left" vertical="center" wrapText="1"/>
    </xf>
    <xf numFmtId="0" fontId="4" fillId="0" borderId="48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4" fontId="4" fillId="0" borderId="48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8" xfId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0" fontId="4" fillId="3" borderId="57" xfId="1" applyFont="1" applyFill="1" applyBorder="1" applyAlignment="1">
      <alignment horizontal="center" vertical="center" wrapText="1"/>
    </xf>
    <xf numFmtId="4" fontId="4" fillId="3" borderId="57" xfId="0" applyNumberFormat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left" vertical="center" wrapText="1"/>
    </xf>
    <xf numFmtId="166" fontId="4" fillId="3" borderId="15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6" fontId="4" fillId="3" borderId="16" xfId="0" applyNumberFormat="1" applyFont="1" applyFill="1" applyBorder="1" applyAlignment="1">
      <alignment horizontal="center" vertical="center" wrapText="1"/>
    </xf>
    <xf numFmtId="4" fontId="4" fillId="0" borderId="48" xfId="0" applyNumberFormat="1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3" borderId="58" xfId="1" applyFont="1" applyFill="1" applyBorder="1" applyAlignment="1">
      <alignment horizontal="center" vertical="center" wrapText="1"/>
    </xf>
    <xf numFmtId="4" fontId="4" fillId="3" borderId="58" xfId="0" applyNumberFormat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166" fontId="4" fillId="3" borderId="17" xfId="0" applyNumberFormat="1" applyFont="1" applyFill="1" applyBorder="1" applyAlignment="1">
      <alignment horizontal="center" vertical="center" wrapText="1"/>
    </xf>
    <xf numFmtId="166" fontId="4" fillId="3" borderId="18" xfId="0" applyNumberFormat="1" applyFont="1" applyFill="1" applyBorder="1" applyAlignment="1">
      <alignment horizontal="center" vertical="center" wrapText="1"/>
    </xf>
    <xf numFmtId="166" fontId="4" fillId="3" borderId="1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top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73" xfId="1" applyFont="1" applyBorder="1" applyAlignment="1">
      <alignment horizontal="center" vertical="center" wrapText="1"/>
    </xf>
    <xf numFmtId="4" fontId="7" fillId="0" borderId="77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3" borderId="25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6" xfId="1" applyFont="1" applyBorder="1" applyAlignment="1">
      <alignment horizontal="center" vertical="center" wrapText="1"/>
    </xf>
    <xf numFmtId="4" fontId="4" fillId="0" borderId="68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3" borderId="3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 wrapText="1"/>
    </xf>
    <xf numFmtId="0" fontId="4" fillId="0" borderId="57" xfId="0" applyFont="1" applyBorder="1" applyAlignment="1">
      <alignment vertical="center" wrapText="1"/>
    </xf>
    <xf numFmtId="166" fontId="4" fillId="0" borderId="11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3" borderId="20" xfId="0" applyNumberFormat="1" applyFont="1" applyFill="1" applyBorder="1" applyAlignment="1">
      <alignment horizontal="center" vertical="center" wrapText="1"/>
    </xf>
    <xf numFmtId="0" fontId="7" fillId="0" borderId="70" xfId="1" applyFont="1" applyBorder="1" applyAlignment="1">
      <alignment horizontal="center" vertical="center" wrapText="1"/>
    </xf>
    <xf numFmtId="4" fontId="7" fillId="0" borderId="74" xfId="0" applyNumberFormat="1" applyFont="1" applyBorder="1" applyAlignment="1">
      <alignment horizontal="center" vertical="center" wrapText="1"/>
    </xf>
    <xf numFmtId="4" fontId="7" fillId="3" borderId="75" xfId="0" applyNumberFormat="1" applyFont="1" applyFill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4" fontId="4" fillId="0" borderId="39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166" fontId="4" fillId="0" borderId="72" xfId="0" applyNumberFormat="1" applyFont="1" applyBorder="1" applyAlignment="1">
      <alignment horizontal="center" vertical="center" wrapText="1"/>
    </xf>
    <xf numFmtId="166" fontId="4" fillId="0" borderId="18" xfId="0" applyNumberFormat="1" applyFont="1" applyBorder="1" applyAlignment="1">
      <alignment horizontal="center" vertical="center" wrapText="1"/>
    </xf>
    <xf numFmtId="166" fontId="4" fillId="3" borderId="22" xfId="0" applyNumberFormat="1" applyFont="1" applyFill="1" applyBorder="1" applyAlignment="1">
      <alignment horizontal="center" vertical="center" wrapText="1"/>
    </xf>
    <xf numFmtId="0" fontId="4" fillId="0" borderId="66" xfId="1" applyFont="1" applyBorder="1" applyAlignment="1">
      <alignment horizontal="center" vertical="center" wrapText="1"/>
    </xf>
    <xf numFmtId="0" fontId="7" fillId="0" borderId="63" xfId="0" applyFont="1" applyFill="1" applyBorder="1" applyAlignment="1">
      <alignment vertical="center" wrapText="1"/>
    </xf>
    <xf numFmtId="4" fontId="7" fillId="0" borderId="72" xfId="0" applyNumberFormat="1" applyFont="1" applyFill="1" applyBorder="1" applyAlignment="1">
      <alignment horizontal="center" vertical="center" wrapText="1"/>
    </xf>
    <xf numFmtId="4" fontId="7" fillId="0" borderId="21" xfId="0" applyNumberFormat="1" applyFont="1" applyFill="1" applyBorder="1" applyAlignment="1">
      <alignment horizontal="center" vertical="center" wrapText="1"/>
    </xf>
    <xf numFmtId="4" fontId="7" fillId="0" borderId="2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63" xfId="0" applyNumberFormat="1" applyFont="1" applyBorder="1" applyAlignment="1">
      <alignment horizontal="center" vertical="center" wrapText="1"/>
    </xf>
    <xf numFmtId="0" fontId="4" fillId="0" borderId="78" xfId="0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30" xfId="0" applyNumberFormat="1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center" vertical="center" wrapText="1"/>
    </xf>
    <xf numFmtId="3" fontId="4" fillId="3" borderId="63" xfId="0" applyNumberFormat="1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vertical="center" wrapText="1"/>
    </xf>
    <xf numFmtId="4" fontId="4" fillId="3" borderId="35" xfId="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top" wrapText="1"/>
    </xf>
    <xf numFmtId="0" fontId="4" fillId="0" borderId="3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 wrapText="1"/>
    </xf>
    <xf numFmtId="166" fontId="4" fillId="3" borderId="17" xfId="0" applyNumberFormat="1" applyFont="1" applyFill="1" applyBorder="1" applyAlignment="1">
      <alignment horizontal="center" vertical="center" wrapText="1"/>
    </xf>
    <xf numFmtId="166" fontId="4" fillId="3" borderId="18" xfId="0" applyNumberFormat="1" applyFont="1" applyFill="1" applyBorder="1" applyAlignment="1">
      <alignment horizontal="center" vertical="center" wrapText="1"/>
    </xf>
    <xf numFmtId="166" fontId="4" fillId="3" borderId="19" xfId="0" applyNumberFormat="1" applyFont="1" applyFill="1" applyBorder="1" applyAlignment="1">
      <alignment horizontal="center" vertical="center" wrapText="1"/>
    </xf>
    <xf numFmtId="4" fontId="4" fillId="0" borderId="54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vertical="center" wrapText="1"/>
    </xf>
    <xf numFmtId="4" fontId="7" fillId="3" borderId="63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wrapText="1"/>
    </xf>
    <xf numFmtId="4" fontId="4" fillId="0" borderId="67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166" fontId="4" fillId="0" borderId="36" xfId="0" applyNumberFormat="1" applyFont="1" applyBorder="1" applyAlignment="1">
      <alignment horizontal="center" vertical="center" wrapText="1"/>
    </xf>
    <xf numFmtId="166" fontId="4" fillId="0" borderId="23" xfId="0" applyNumberFormat="1" applyFont="1" applyBorder="1" applyAlignment="1">
      <alignment horizontal="center" vertical="center" wrapText="1"/>
    </xf>
    <xf numFmtId="166" fontId="4" fillId="0" borderId="2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63" xfId="0" applyFont="1" applyBorder="1" applyAlignment="1">
      <alignment vertical="center" wrapText="1"/>
    </xf>
    <xf numFmtId="166" fontId="4" fillId="0" borderId="39" xfId="0" applyNumberFormat="1" applyFont="1" applyBorder="1" applyAlignment="1">
      <alignment horizontal="center" vertical="center" wrapText="1"/>
    </xf>
    <xf numFmtId="166" fontId="4" fillId="3" borderId="45" xfId="0" applyNumberFormat="1" applyFont="1" applyFill="1" applyBorder="1" applyAlignment="1">
      <alignment horizontal="center" vertical="center" wrapText="1"/>
    </xf>
    <xf numFmtId="0" fontId="4" fillId="0" borderId="70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left" vertical="center" wrapText="1"/>
    </xf>
    <xf numFmtId="4" fontId="7" fillId="0" borderId="62" xfId="0" applyNumberFormat="1" applyFont="1" applyBorder="1" applyAlignment="1">
      <alignment horizontal="center" vertical="center" wrapText="1"/>
    </xf>
    <xf numFmtId="4" fontId="7" fillId="3" borderId="24" xfId="0" applyNumberFormat="1" applyFont="1" applyFill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59" xfId="1" applyFont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4" fontId="4" fillId="0" borderId="65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166" fontId="4" fillId="0" borderId="51" xfId="0" applyNumberFormat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vertical="center" wrapText="1"/>
    </xf>
    <xf numFmtId="166" fontId="4" fillId="0" borderId="17" xfId="0" applyNumberFormat="1" applyFont="1" applyBorder="1" applyAlignment="1">
      <alignment horizontal="center" vertical="center" wrapText="1"/>
    </xf>
    <xf numFmtId="166" fontId="4" fillId="0" borderId="31" xfId="0" applyNumberFormat="1" applyFont="1" applyBorder="1" applyAlignment="1">
      <alignment horizontal="center" vertical="center" wrapText="1"/>
    </xf>
    <xf numFmtId="0" fontId="4" fillId="0" borderId="60" xfId="1" applyFont="1" applyBorder="1" applyAlignment="1">
      <alignment horizontal="center" vertical="center" wrapText="1"/>
    </xf>
    <xf numFmtId="0" fontId="4" fillId="0" borderId="70" xfId="1" applyFont="1" applyBorder="1" applyAlignment="1">
      <alignment horizontal="center" vertical="center" wrapText="1"/>
    </xf>
    <xf numFmtId="4" fontId="4" fillId="0" borderId="61" xfId="0" applyNumberFormat="1" applyFont="1" applyBorder="1" applyAlignment="1">
      <alignment horizontal="center" vertical="center"/>
    </xf>
    <xf numFmtId="0" fontId="4" fillId="0" borderId="64" xfId="0" applyFont="1" applyFill="1" applyBorder="1" applyAlignment="1">
      <alignment horizontal="left" vertical="center" wrapText="1"/>
    </xf>
    <xf numFmtId="4" fontId="7" fillId="0" borderId="58" xfId="0" applyNumberFormat="1" applyFont="1" applyBorder="1" applyAlignment="1">
      <alignment horizontal="center" vertical="center"/>
    </xf>
    <xf numFmtId="0" fontId="7" fillId="0" borderId="58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3" borderId="22" xfId="0" applyNumberFormat="1" applyFont="1" applyFill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4" fontId="4" fillId="0" borderId="68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3" borderId="20" xfId="0" applyNumberFormat="1" applyFont="1" applyFill="1" applyBorder="1" applyAlignment="1">
      <alignment horizontal="center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top"/>
    </xf>
    <xf numFmtId="4" fontId="4" fillId="0" borderId="57" xfId="0" applyNumberFormat="1" applyFont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13" fillId="0" borderId="5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top"/>
    </xf>
    <xf numFmtId="4" fontId="4" fillId="0" borderId="58" xfId="0" applyNumberFormat="1" applyFont="1" applyBorder="1" applyAlignment="1">
      <alignment horizontal="center" vertical="top"/>
    </xf>
    <xf numFmtId="0" fontId="13" fillId="0" borderId="7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75" xfId="0" applyFont="1" applyFill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4" fillId="0" borderId="68" xfId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9" fontId="4" fillId="0" borderId="11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20" xfId="0" applyNumberFormat="1" applyFont="1" applyBorder="1" applyAlignment="1">
      <alignment horizontal="center" vertical="center" wrapText="1"/>
    </xf>
    <xf numFmtId="4" fontId="4" fillId="0" borderId="42" xfId="0" applyNumberFormat="1" applyFont="1" applyBorder="1" applyAlignment="1">
      <alignment horizontal="center" vertical="center" wrapText="1"/>
    </xf>
    <xf numFmtId="166" fontId="4" fillId="0" borderId="17" xfId="0" applyNumberFormat="1" applyFont="1" applyFill="1" applyBorder="1" applyAlignment="1">
      <alignment horizontal="center" vertical="center" wrapText="1"/>
    </xf>
    <xf numFmtId="166" fontId="4" fillId="0" borderId="18" xfId="0" applyNumberFormat="1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left" vertical="center" wrapText="1"/>
    </xf>
    <xf numFmtId="4" fontId="7" fillId="0" borderId="37" xfId="0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left" vertical="center" wrapText="1"/>
    </xf>
    <xf numFmtId="0" fontId="4" fillId="0" borderId="41" xfId="0" applyFont="1" applyBorder="1" applyAlignment="1">
      <alignment vertical="center" wrapText="1"/>
    </xf>
    <xf numFmtId="3" fontId="4" fillId="0" borderId="65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vertical="center" wrapText="1"/>
    </xf>
    <xf numFmtId="166" fontId="4" fillId="0" borderId="65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6" fontId="4" fillId="0" borderId="20" xfId="0" applyNumberFormat="1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left" vertical="center" wrapText="1"/>
    </xf>
    <xf numFmtId="4" fontId="4" fillId="0" borderId="59" xfId="0" applyNumberFormat="1" applyFont="1" applyBorder="1" applyAlignment="1">
      <alignment horizontal="center" vertical="center" wrapText="1"/>
    </xf>
    <xf numFmtId="4" fontId="4" fillId="0" borderId="53" xfId="0" applyNumberFormat="1" applyFont="1" applyBorder="1" applyAlignment="1">
      <alignment horizontal="center" vertical="center" wrapText="1"/>
    </xf>
    <xf numFmtId="4" fontId="4" fillId="0" borderId="32" xfId="0" applyNumberFormat="1" applyFont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7" fillId="3" borderId="66" xfId="1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0" fontId="13" fillId="0" borderId="6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13" fillId="3" borderId="69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center" vertical="center" wrapText="1"/>
    </xf>
    <xf numFmtId="4" fontId="4" fillId="3" borderId="68" xfId="0" applyNumberFormat="1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/>
    <xf numFmtId="3" fontId="4" fillId="0" borderId="44" xfId="0" applyNumberFormat="1" applyFont="1" applyBorder="1" applyAlignment="1">
      <alignment horizontal="center" vertical="center" wrapText="1"/>
    </xf>
    <xf numFmtId="4" fontId="4" fillId="3" borderId="47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horizontal="center" vertical="center" wrapText="1"/>
    </xf>
    <xf numFmtId="0" fontId="4" fillId="0" borderId="51" xfId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4" fontId="4" fillId="3" borderId="57" xfId="0" applyNumberFormat="1" applyFont="1" applyFill="1" applyBorder="1" applyAlignment="1">
      <alignment horizontal="center" vertical="center" wrapText="1"/>
    </xf>
    <xf numFmtId="9" fontId="4" fillId="0" borderId="52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9" fontId="4" fillId="0" borderId="30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4" fillId="3" borderId="48" xfId="0" applyFont="1" applyFill="1" applyBorder="1" applyAlignment="1">
      <alignment vertical="center" wrapText="1"/>
    </xf>
    <xf numFmtId="0" fontId="4" fillId="0" borderId="49" xfId="0" applyFont="1" applyBorder="1" applyAlignment="1">
      <alignment horizontal="left" vertical="center" wrapText="1"/>
    </xf>
    <xf numFmtId="4" fontId="4" fillId="0" borderId="43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71" xfId="0" applyFont="1" applyBorder="1" applyAlignment="1">
      <alignment horizontal="center" vertical="top" wrapText="1"/>
    </xf>
    <xf numFmtId="0" fontId="4" fillId="3" borderId="49" xfId="0" applyFont="1" applyFill="1" applyBorder="1" applyAlignment="1">
      <alignment horizontal="left" vertical="top" wrapText="1"/>
    </xf>
    <xf numFmtId="0" fontId="4" fillId="3" borderId="73" xfId="1" applyFont="1" applyFill="1" applyBorder="1" applyAlignment="1">
      <alignment horizontal="center" vertical="center" wrapText="1"/>
    </xf>
    <xf numFmtId="4" fontId="7" fillId="3" borderId="73" xfId="0" applyNumberFormat="1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vertical="center" wrapText="1"/>
    </xf>
    <xf numFmtId="164" fontId="7" fillId="3" borderId="63" xfId="0" applyNumberFormat="1" applyFont="1" applyFill="1" applyBorder="1" applyAlignment="1">
      <alignment horizontal="center" vertical="center" wrapText="1"/>
    </xf>
    <xf numFmtId="0" fontId="4" fillId="0" borderId="69" xfId="0" applyFont="1" applyBorder="1" applyAlignment="1">
      <alignment horizontal="left" vertical="center" wrapText="1"/>
    </xf>
    <xf numFmtId="4" fontId="4" fillId="0" borderId="44" xfId="0" applyNumberFormat="1" applyFont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left" vertical="top" wrapText="1"/>
    </xf>
    <xf numFmtId="4" fontId="4" fillId="3" borderId="70" xfId="0" applyNumberFormat="1" applyFont="1" applyFill="1" applyBorder="1" applyAlignment="1">
      <alignment horizontal="center" vertical="center" wrapText="1"/>
    </xf>
    <xf numFmtId="3" fontId="4" fillId="3" borderId="40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4" fillId="0" borderId="57" xfId="1" applyFont="1" applyBorder="1" applyAlignment="1">
      <alignment horizontal="center" vertical="center" wrapText="1"/>
    </xf>
    <xf numFmtId="4" fontId="4" fillId="0" borderId="56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8" xfId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left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9" fontId="4" fillId="0" borderId="18" xfId="0" applyNumberFormat="1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4" fontId="4" fillId="3" borderId="58" xfId="0" applyNumberFormat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vertical="top" wrapText="1"/>
    </xf>
    <xf numFmtId="9" fontId="4" fillId="3" borderId="15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9" fontId="4" fillId="3" borderId="19" xfId="0" applyNumberFormat="1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top" wrapText="1"/>
    </xf>
    <xf numFmtId="4" fontId="4" fillId="0" borderId="66" xfId="0" applyNumberFormat="1" applyFont="1" applyBorder="1" applyAlignment="1">
      <alignment horizontal="center" vertical="center" wrapText="1"/>
    </xf>
    <xf numFmtId="4" fontId="4" fillId="0" borderId="41" xfId="0" applyNumberFormat="1" applyFont="1" applyBorder="1" applyAlignment="1">
      <alignment horizontal="center" vertical="center" wrapText="1"/>
    </xf>
    <xf numFmtId="4" fontId="4" fillId="0" borderId="70" xfId="0" applyNumberFormat="1" applyFont="1" applyBorder="1" applyAlignment="1">
      <alignment horizontal="center" vertical="center" wrapText="1"/>
    </xf>
    <xf numFmtId="4" fontId="4" fillId="0" borderId="51" xfId="0" applyNumberFormat="1" applyFont="1" applyBorder="1" applyAlignment="1">
      <alignment horizontal="center"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4" fontId="4" fillId="0" borderId="36" xfId="0" applyNumberFormat="1" applyFont="1" applyBorder="1" applyAlignment="1">
      <alignment horizontal="center" vertical="center" wrapText="1"/>
    </xf>
    <xf numFmtId="4" fontId="4" fillId="0" borderId="55" xfId="0" applyNumberFormat="1" applyFont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top" wrapText="1"/>
    </xf>
    <xf numFmtId="0" fontId="4" fillId="0" borderId="4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4" fontId="7" fillId="0" borderId="5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7" fillId="0" borderId="60" xfId="0" applyNumberFormat="1" applyFont="1" applyBorder="1" applyAlignment="1">
      <alignment horizontal="center" vertical="center" wrapText="1"/>
    </xf>
    <xf numFmtId="0" fontId="4" fillId="0" borderId="59" xfId="0" applyFont="1" applyBorder="1" applyAlignment="1">
      <alignment vertical="center" wrapText="1"/>
    </xf>
    <xf numFmtId="4" fontId="7" fillId="0" borderId="63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7" xfId="1" applyFont="1" applyBorder="1" applyAlignment="1">
      <alignment horizontal="center" vertical="center" wrapText="1"/>
    </xf>
    <xf numFmtId="0" fontId="4" fillId="0" borderId="5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9" xfId="0" applyFont="1" applyBorder="1" applyAlignment="1">
      <alignment vertical="center" wrapText="1"/>
    </xf>
    <xf numFmtId="0" fontId="0" fillId="0" borderId="1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4" fillId="0" borderId="6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4" fillId="0" borderId="39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Border="1"/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5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4" fillId="0" borderId="60" xfId="0" applyFont="1" applyBorder="1" applyAlignment="1">
      <alignment horizontal="center" vertical="top" wrapText="1"/>
    </xf>
    <xf numFmtId="0" fontId="4" fillId="0" borderId="58" xfId="0" applyFont="1" applyBorder="1" applyAlignment="1">
      <alignment horizontal="center" vertical="top" wrapText="1"/>
    </xf>
    <xf numFmtId="0" fontId="4" fillId="0" borderId="6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6" xfId="0" applyFont="1" applyFill="1" applyBorder="1" applyAlignment="1">
      <alignment horizontal="left" vertical="top" wrapText="1"/>
    </xf>
    <xf numFmtId="0" fontId="4" fillId="0" borderId="47" xfId="0" applyFont="1" applyFill="1" applyBorder="1" applyAlignment="1">
      <alignment horizontal="left" vertical="top" wrapText="1"/>
    </xf>
    <xf numFmtId="0" fontId="4" fillId="0" borderId="48" xfId="0" applyFont="1" applyFill="1" applyBorder="1" applyAlignment="1">
      <alignment horizontal="left" vertical="top" wrapText="1"/>
    </xf>
    <xf numFmtId="0" fontId="4" fillId="0" borderId="59" xfId="0" applyFont="1" applyBorder="1" applyAlignment="1">
      <alignment horizontal="center" wrapText="1"/>
    </xf>
    <xf numFmtId="0" fontId="13" fillId="0" borderId="52" xfId="0" applyFont="1" applyBorder="1" applyAlignment="1">
      <alignment horizontal="center" wrapText="1"/>
    </xf>
    <xf numFmtId="0" fontId="13" fillId="0" borderId="39" xfId="0" applyFont="1" applyBorder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" fontId="4" fillId="0" borderId="0" xfId="0" applyNumberFormat="1" applyFont="1" applyAlignme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Хороши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B121"/>
  <sheetViews>
    <sheetView tabSelected="1" topLeftCell="O1" zoomScale="96" zoomScaleNormal="96" workbookViewId="0">
      <selection activeCell="X2" sqref="X2"/>
    </sheetView>
  </sheetViews>
  <sheetFormatPr defaultColWidth="9.140625" defaultRowHeight="15" x14ac:dyDescent="0.25"/>
  <cols>
    <col min="1" max="1" width="13.28515625" style="1" hidden="1" customWidth="1"/>
    <col min="2" max="2" width="14.42578125" style="1" hidden="1" customWidth="1"/>
    <col min="3" max="3" width="22.5703125" style="18" hidden="1" customWidth="1"/>
    <col min="4" max="4" width="7.5703125" style="19" hidden="1" customWidth="1"/>
    <col min="5" max="5" width="22.5703125" style="20" hidden="1" customWidth="1"/>
    <col min="6" max="6" width="13" style="19" hidden="1" customWidth="1"/>
    <col min="7" max="7" width="8.140625" style="630" hidden="1" customWidth="1"/>
    <col min="8" max="8" width="14.28515625" style="631" hidden="1" customWidth="1"/>
    <col min="9" max="9" width="42" style="18" hidden="1" customWidth="1"/>
    <col min="10" max="10" width="14.28515625" style="20" hidden="1" customWidth="1"/>
    <col min="11" max="11" width="10.140625" style="20" hidden="1" customWidth="1"/>
    <col min="12" max="12" width="10.42578125" style="20" hidden="1" customWidth="1"/>
    <col min="13" max="13" width="10.7109375" style="20" hidden="1" customWidth="1"/>
    <col min="14" max="14" width="4.5703125" style="6" hidden="1" customWidth="1"/>
    <col min="15" max="15" width="6.28515625" style="6" customWidth="1"/>
    <col min="16" max="16" width="18.85546875" style="1" customWidth="1"/>
    <col min="17" max="17" width="19.42578125" style="1" customWidth="1"/>
    <col min="18" max="18" width="22.28515625" style="1" customWidth="1"/>
    <col min="19" max="19" width="7.7109375" style="1" customWidth="1"/>
    <col min="20" max="20" width="21" style="1" customWidth="1"/>
    <col min="21" max="21" width="14" style="1" customWidth="1"/>
    <col min="22" max="22" width="9.140625" style="1"/>
    <col min="23" max="23" width="14.5703125" style="5" customWidth="1"/>
    <col min="24" max="24" width="42.7109375" style="1" customWidth="1"/>
    <col min="25" max="25" width="16.85546875" style="1" customWidth="1"/>
    <col min="26" max="26" width="15.140625" style="1" customWidth="1"/>
    <col min="27" max="27" width="11" style="1" customWidth="1"/>
    <col min="28" max="28" width="7.5703125" style="1" hidden="1" customWidth="1"/>
    <col min="29" max="16384" width="9.140625" style="1"/>
  </cols>
  <sheetData>
    <row r="1" spans="1:28" ht="26.25" customHeight="1" x14ac:dyDescent="0.25">
      <c r="G1" s="627"/>
      <c r="H1" s="628"/>
    </row>
    <row r="2" spans="1:28" x14ac:dyDescent="0.25">
      <c r="G2" s="20"/>
      <c r="H2" s="21"/>
      <c r="X2" s="658" t="s">
        <v>185</v>
      </c>
    </row>
    <row r="3" spans="1:28" ht="16.5" customHeight="1" x14ac:dyDescent="0.25">
      <c r="A3" s="23"/>
      <c r="B3" s="23"/>
      <c r="G3" s="20"/>
      <c r="H3" s="24"/>
      <c r="L3" s="25" t="s">
        <v>10</v>
      </c>
      <c r="M3" s="25"/>
      <c r="P3" s="23"/>
      <c r="Q3" s="23"/>
      <c r="R3" s="18"/>
      <c r="S3" s="19"/>
      <c r="T3" s="20"/>
      <c r="U3" s="19"/>
      <c r="V3" s="20"/>
      <c r="W3" s="24"/>
      <c r="X3" s="653" t="s">
        <v>169</v>
      </c>
      <c r="Y3" s="654"/>
      <c r="Z3" s="654"/>
      <c r="AA3" s="654"/>
    </row>
    <row r="4" spans="1:28" ht="21.75" customHeight="1" x14ac:dyDescent="0.25">
      <c r="A4" s="26" t="s">
        <v>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P4" s="26" t="s">
        <v>4</v>
      </c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8" ht="18" customHeight="1" x14ac:dyDescent="0.25">
      <c r="A5" s="26" t="s">
        <v>57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P5" s="26" t="s">
        <v>118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8" ht="12" customHeight="1" thickBot="1" x14ac:dyDescent="0.3">
      <c r="A6" s="27"/>
      <c r="B6" s="27"/>
      <c r="C6" s="27"/>
      <c r="D6" s="27"/>
      <c r="E6" s="28" t="s">
        <v>107</v>
      </c>
      <c r="F6" s="28"/>
      <c r="G6" s="28"/>
      <c r="H6" s="28"/>
      <c r="I6" s="28"/>
      <c r="J6" s="27"/>
      <c r="K6" s="27"/>
      <c r="L6" s="27"/>
      <c r="M6" s="27"/>
      <c r="P6" s="27"/>
      <c r="Q6" s="27"/>
      <c r="R6" s="27"/>
      <c r="S6" s="27"/>
      <c r="T6" s="26"/>
      <c r="U6" s="26"/>
      <c r="V6" s="26"/>
      <c r="W6" s="26"/>
      <c r="X6" s="26"/>
      <c r="Y6" s="27"/>
      <c r="Z6" s="27"/>
      <c r="AA6" s="27"/>
    </row>
    <row r="7" spans="1:28" ht="36" customHeight="1" thickBot="1" x14ac:dyDescent="0.3">
      <c r="A7" s="29" t="s">
        <v>5</v>
      </c>
      <c r="B7" s="29" t="s">
        <v>6</v>
      </c>
      <c r="C7" s="30" t="s">
        <v>0</v>
      </c>
      <c r="D7" s="31" t="s">
        <v>58</v>
      </c>
      <c r="E7" s="30" t="s">
        <v>7</v>
      </c>
      <c r="F7" s="32" t="s">
        <v>1</v>
      </c>
      <c r="G7" s="33" t="s">
        <v>59</v>
      </c>
      <c r="H7" s="34"/>
      <c r="I7" s="35" t="s">
        <v>8</v>
      </c>
      <c r="J7" s="36"/>
      <c r="K7" s="36"/>
      <c r="L7" s="36"/>
      <c r="M7" s="37"/>
      <c r="P7" s="29" t="s">
        <v>5</v>
      </c>
      <c r="Q7" s="29" t="s">
        <v>6</v>
      </c>
      <c r="R7" s="30" t="s">
        <v>0</v>
      </c>
      <c r="S7" s="31" t="s">
        <v>58</v>
      </c>
      <c r="T7" s="30" t="s">
        <v>7</v>
      </c>
      <c r="U7" s="30" t="s">
        <v>1</v>
      </c>
      <c r="V7" s="32" t="s">
        <v>59</v>
      </c>
      <c r="W7" s="34"/>
      <c r="X7" s="38" t="s">
        <v>8</v>
      </c>
      <c r="Y7" s="38"/>
      <c r="Z7" s="38"/>
      <c r="AA7" s="38"/>
    </row>
    <row r="8" spans="1:28" ht="36" customHeight="1" thickBot="1" x14ac:dyDescent="0.3">
      <c r="A8" s="16"/>
      <c r="B8" s="16"/>
      <c r="C8" s="39"/>
      <c r="D8" s="40"/>
      <c r="E8" s="39"/>
      <c r="F8" s="41"/>
      <c r="G8" s="42"/>
      <c r="H8" s="43"/>
      <c r="I8" s="44" t="s">
        <v>9</v>
      </c>
      <c r="J8" s="45" t="s">
        <v>13</v>
      </c>
      <c r="K8" s="45" t="s">
        <v>14</v>
      </c>
      <c r="L8" s="45" t="s">
        <v>15</v>
      </c>
      <c r="M8" s="46" t="s">
        <v>16</v>
      </c>
      <c r="P8" s="16"/>
      <c r="Q8" s="16"/>
      <c r="R8" s="47"/>
      <c r="S8" s="48"/>
      <c r="T8" s="47"/>
      <c r="U8" s="39"/>
      <c r="V8" s="49"/>
      <c r="W8" s="50"/>
      <c r="X8" s="51" t="s">
        <v>9</v>
      </c>
      <c r="Y8" s="52">
        <v>2026</v>
      </c>
      <c r="Z8" s="52">
        <v>2027</v>
      </c>
      <c r="AA8" s="52">
        <v>2028</v>
      </c>
    </row>
    <row r="9" spans="1:28" ht="13.5" customHeight="1" thickBot="1" x14ac:dyDescent="0.3">
      <c r="A9" s="14"/>
      <c r="B9" s="14"/>
      <c r="C9" s="53"/>
      <c r="D9" s="54"/>
      <c r="E9" s="53"/>
      <c r="F9" s="54"/>
      <c r="G9" s="55"/>
      <c r="H9" s="56"/>
      <c r="I9" s="57"/>
      <c r="J9" s="58"/>
      <c r="K9" s="58"/>
      <c r="L9" s="58"/>
      <c r="M9" s="59"/>
      <c r="P9" s="60">
        <v>1</v>
      </c>
      <c r="Q9" s="60">
        <v>2</v>
      </c>
      <c r="R9" s="60">
        <v>3</v>
      </c>
      <c r="S9" s="60">
        <v>4</v>
      </c>
      <c r="T9" s="60">
        <v>5</v>
      </c>
      <c r="U9" s="60">
        <v>6</v>
      </c>
      <c r="V9" s="61">
        <v>7</v>
      </c>
      <c r="W9" s="61"/>
      <c r="X9" s="60">
        <v>8</v>
      </c>
      <c r="Y9" s="60">
        <v>9</v>
      </c>
      <c r="Z9" s="60">
        <v>10</v>
      </c>
      <c r="AA9" s="60">
        <v>11</v>
      </c>
    </row>
    <row r="10" spans="1:28" ht="29.25" customHeight="1" thickBot="1" x14ac:dyDescent="0.3">
      <c r="A10" s="62"/>
      <c r="B10" s="63"/>
      <c r="C10" s="64" t="s">
        <v>45</v>
      </c>
      <c r="D10" s="29" t="s">
        <v>30</v>
      </c>
      <c r="E10" s="65" t="s">
        <v>103</v>
      </c>
      <c r="F10" s="66" t="s">
        <v>3</v>
      </c>
      <c r="G10" s="67" t="s">
        <v>2</v>
      </c>
      <c r="H10" s="68">
        <f>H11+H12+H13+H14</f>
        <v>9827.5999999999985</v>
      </c>
      <c r="I10" s="69" t="s">
        <v>95</v>
      </c>
      <c r="J10" s="70">
        <v>1662.1</v>
      </c>
      <c r="K10" s="71">
        <v>2135.1999999999998</v>
      </c>
      <c r="L10" s="71">
        <v>2734.5</v>
      </c>
      <c r="M10" s="68">
        <v>3295.8</v>
      </c>
      <c r="N10" s="7"/>
      <c r="O10" s="7"/>
      <c r="P10" s="72"/>
      <c r="Q10" s="73" t="s">
        <v>124</v>
      </c>
      <c r="R10" s="74" t="s">
        <v>112</v>
      </c>
      <c r="S10" s="75" t="s">
        <v>113</v>
      </c>
      <c r="T10" s="65" t="s">
        <v>175</v>
      </c>
      <c r="U10" s="76" t="s">
        <v>3</v>
      </c>
      <c r="V10" s="77" t="s">
        <v>2</v>
      </c>
      <c r="W10" s="78">
        <f>Y10+Z10+AA10</f>
        <v>8333.1</v>
      </c>
      <c r="X10" s="79" t="s">
        <v>95</v>
      </c>
      <c r="Y10" s="80">
        <v>2517.5500000000002</v>
      </c>
      <c r="Z10" s="81">
        <v>2769.31</v>
      </c>
      <c r="AA10" s="82">
        <v>3046.24</v>
      </c>
      <c r="AB10" s="4" t="e">
        <f>Y10+Z10+AA10+#REF!-W10</f>
        <v>#REF!</v>
      </c>
    </row>
    <row r="11" spans="1:28" ht="40.5" customHeight="1" x14ac:dyDescent="0.25">
      <c r="A11" s="62"/>
      <c r="B11" s="63"/>
      <c r="C11" s="83"/>
      <c r="D11" s="15"/>
      <c r="E11" s="84"/>
      <c r="F11" s="85"/>
      <c r="G11" s="86">
        <v>2022</v>
      </c>
      <c r="H11" s="87">
        <f>J10</f>
        <v>1662.1</v>
      </c>
      <c r="I11" s="88" t="s">
        <v>54</v>
      </c>
      <c r="J11" s="89">
        <v>250</v>
      </c>
      <c r="K11" s="90">
        <v>305</v>
      </c>
      <c r="L11" s="90">
        <v>372</v>
      </c>
      <c r="M11" s="91">
        <v>427</v>
      </c>
      <c r="N11" s="7"/>
      <c r="O11" s="7"/>
      <c r="P11" s="92"/>
      <c r="Q11" s="93"/>
      <c r="R11" s="94"/>
      <c r="S11" s="95"/>
      <c r="T11" s="84"/>
      <c r="U11" s="96"/>
      <c r="V11" s="67">
        <v>2026</v>
      </c>
      <c r="W11" s="68">
        <f>Y10</f>
        <v>2517.5500000000002</v>
      </c>
      <c r="X11" s="97" t="s">
        <v>54</v>
      </c>
      <c r="Y11" s="98">
        <v>150</v>
      </c>
      <c r="Z11" s="99">
        <v>150</v>
      </c>
      <c r="AA11" s="99">
        <v>150</v>
      </c>
    </row>
    <row r="12" spans="1:28" ht="18.75" customHeight="1" x14ac:dyDescent="0.25">
      <c r="A12" s="62"/>
      <c r="B12" s="63"/>
      <c r="C12" s="83"/>
      <c r="D12" s="15"/>
      <c r="E12" s="84"/>
      <c r="F12" s="85"/>
      <c r="G12" s="86">
        <v>2023</v>
      </c>
      <c r="H12" s="87">
        <f>K10</f>
        <v>2135.1999999999998</v>
      </c>
      <c r="I12" s="100" t="s">
        <v>22</v>
      </c>
      <c r="J12" s="98">
        <v>50</v>
      </c>
      <c r="K12" s="99">
        <f>K11*20%</f>
        <v>61</v>
      </c>
      <c r="L12" s="99">
        <v>75</v>
      </c>
      <c r="M12" s="101">
        <v>85</v>
      </c>
      <c r="N12" s="7"/>
      <c r="O12" s="7"/>
      <c r="P12" s="92"/>
      <c r="Q12" s="93"/>
      <c r="R12" s="94"/>
      <c r="S12" s="95"/>
      <c r="T12" s="84"/>
      <c r="U12" s="96"/>
      <c r="V12" s="102">
        <v>2027</v>
      </c>
      <c r="W12" s="87">
        <f>Z10</f>
        <v>2769.31</v>
      </c>
      <c r="X12" s="100" t="s">
        <v>22</v>
      </c>
      <c r="Y12" s="98">
        <v>50</v>
      </c>
      <c r="Z12" s="99">
        <v>60</v>
      </c>
      <c r="AA12" s="99">
        <v>75</v>
      </c>
    </row>
    <row r="13" spans="1:28" ht="30.75" customHeight="1" x14ac:dyDescent="0.25">
      <c r="A13" s="62"/>
      <c r="B13" s="63"/>
      <c r="C13" s="83"/>
      <c r="D13" s="15"/>
      <c r="E13" s="84"/>
      <c r="F13" s="85"/>
      <c r="G13" s="86">
        <v>2024</v>
      </c>
      <c r="H13" s="87">
        <f>L10</f>
        <v>2734.5</v>
      </c>
      <c r="I13" s="100" t="s">
        <v>46</v>
      </c>
      <c r="J13" s="103">
        <f>J10/J11*1000</f>
        <v>6648.4</v>
      </c>
      <c r="K13" s="104">
        <f>J13*105.3%</f>
        <v>7000.7651999999989</v>
      </c>
      <c r="L13" s="104">
        <f>K13*105%</f>
        <v>7350.8034599999992</v>
      </c>
      <c r="M13" s="105">
        <f>L13*105%</f>
        <v>7718.3436329999995</v>
      </c>
      <c r="N13" s="7"/>
      <c r="O13" s="7"/>
      <c r="P13" s="92"/>
      <c r="Q13" s="93"/>
      <c r="R13" s="94"/>
      <c r="S13" s="95"/>
      <c r="T13" s="84"/>
      <c r="U13" s="96"/>
      <c r="V13" s="102">
        <v>2028</v>
      </c>
      <c r="W13" s="87">
        <f>AA10</f>
        <v>3046.24</v>
      </c>
      <c r="X13" s="100" t="s">
        <v>120</v>
      </c>
      <c r="Y13" s="103">
        <f>Y10/Y11*1000</f>
        <v>16783.666666666668</v>
      </c>
      <c r="Z13" s="104">
        <f>Z10/Z11*1000</f>
        <v>18462.066666666666</v>
      </c>
      <c r="AA13" s="104">
        <f>AA10/AA11*1000</f>
        <v>20308.266666666666</v>
      </c>
    </row>
    <row r="14" spans="1:28" ht="73.5" customHeight="1" thickBot="1" x14ac:dyDescent="0.3">
      <c r="A14" s="62"/>
      <c r="B14" s="63"/>
      <c r="C14" s="106"/>
      <c r="D14" s="16"/>
      <c r="E14" s="107"/>
      <c r="F14" s="108"/>
      <c r="G14" s="109">
        <v>2025</v>
      </c>
      <c r="H14" s="110">
        <f>M10</f>
        <v>3295.8</v>
      </c>
      <c r="I14" s="111" t="s">
        <v>71</v>
      </c>
      <c r="J14" s="112">
        <v>1</v>
      </c>
      <c r="K14" s="113">
        <v>1</v>
      </c>
      <c r="L14" s="113">
        <v>1</v>
      </c>
      <c r="M14" s="114">
        <v>1</v>
      </c>
      <c r="N14" s="7"/>
      <c r="O14" s="7"/>
      <c r="P14" s="92"/>
      <c r="Q14" s="93"/>
      <c r="R14" s="115"/>
      <c r="S14" s="116"/>
      <c r="T14" s="107"/>
      <c r="U14" s="117"/>
      <c r="V14" s="118"/>
      <c r="W14" s="110"/>
      <c r="X14" s="111" t="s">
        <v>138</v>
      </c>
      <c r="Y14" s="119">
        <v>1</v>
      </c>
      <c r="Z14" s="120">
        <v>1</v>
      </c>
      <c r="AA14" s="120">
        <v>1</v>
      </c>
    </row>
    <row r="15" spans="1:28" ht="31.5" customHeight="1" thickBot="1" x14ac:dyDescent="0.3">
      <c r="A15" s="62"/>
      <c r="B15" s="63"/>
      <c r="C15" s="121" t="s">
        <v>72</v>
      </c>
      <c r="D15" s="29" t="s">
        <v>30</v>
      </c>
      <c r="E15" s="65" t="s">
        <v>104</v>
      </c>
      <c r="F15" s="122" t="s">
        <v>3</v>
      </c>
      <c r="G15" s="67" t="s">
        <v>2</v>
      </c>
      <c r="H15" s="68">
        <f>H16+H17+H18+H19</f>
        <v>5894.8</v>
      </c>
      <c r="I15" s="69" t="s">
        <v>95</v>
      </c>
      <c r="J15" s="123">
        <v>1395.4</v>
      </c>
      <c r="K15" s="71">
        <v>1448.6</v>
      </c>
      <c r="L15" s="71">
        <v>1499.3</v>
      </c>
      <c r="M15" s="68">
        <v>1551.5</v>
      </c>
      <c r="N15" s="7"/>
      <c r="O15" s="7"/>
      <c r="P15" s="92"/>
      <c r="Q15" s="93"/>
      <c r="R15" s="74" t="s">
        <v>72</v>
      </c>
      <c r="S15" s="75" t="s">
        <v>113</v>
      </c>
      <c r="T15" s="65" t="str">
        <f>'нова редакція'!$T$27</f>
        <v>Департамент охорони здоров'я міста Києва, КНП «Київська міська клінічна лікарня № 5»,  заклади охорони здоров'я, засновані на комунальній власності територіальної громади міста Києва</v>
      </c>
      <c r="U15" s="122" t="s">
        <v>3</v>
      </c>
      <c r="V15" s="124" t="s">
        <v>2</v>
      </c>
      <c r="W15" s="125">
        <f>W16+W17+W18+W19</f>
        <v>7630.4299999999994</v>
      </c>
      <c r="X15" s="126" t="s">
        <v>95</v>
      </c>
      <c r="Y15" s="10">
        <v>2305.27</v>
      </c>
      <c r="Z15" s="127">
        <v>2535.79</v>
      </c>
      <c r="AA15" s="82">
        <v>2789.37</v>
      </c>
      <c r="AB15" s="4" t="e">
        <f>Y15+Z15+AA15+#REF!-W15</f>
        <v>#REF!</v>
      </c>
    </row>
    <row r="16" spans="1:28" ht="45" customHeight="1" x14ac:dyDescent="0.25">
      <c r="A16" s="62"/>
      <c r="B16" s="63"/>
      <c r="C16" s="128"/>
      <c r="D16" s="15"/>
      <c r="E16" s="84"/>
      <c r="F16" s="129"/>
      <c r="G16" s="86">
        <v>2022</v>
      </c>
      <c r="H16" s="130">
        <f>J15</f>
        <v>1395.4</v>
      </c>
      <c r="I16" s="100" t="s">
        <v>47</v>
      </c>
      <c r="J16" s="131">
        <v>213</v>
      </c>
      <c r="K16" s="132">
        <v>209</v>
      </c>
      <c r="L16" s="132">
        <v>205</v>
      </c>
      <c r="M16" s="133">
        <v>201</v>
      </c>
      <c r="N16" s="7"/>
      <c r="O16" s="7"/>
      <c r="P16" s="134" t="s">
        <v>127</v>
      </c>
      <c r="Q16" s="93"/>
      <c r="R16" s="135"/>
      <c r="S16" s="95"/>
      <c r="T16" s="84"/>
      <c r="U16" s="129"/>
      <c r="V16" s="67">
        <v>2026</v>
      </c>
      <c r="W16" s="136">
        <f>Y15</f>
        <v>2305.27</v>
      </c>
      <c r="X16" s="137" t="s">
        <v>47</v>
      </c>
      <c r="Y16" s="138">
        <v>100</v>
      </c>
      <c r="Z16" s="139">
        <v>100</v>
      </c>
      <c r="AA16" s="139">
        <v>100</v>
      </c>
    </row>
    <row r="17" spans="1:28" ht="31.5" customHeight="1" x14ac:dyDescent="0.25">
      <c r="A17" s="62"/>
      <c r="B17" s="63"/>
      <c r="C17" s="128"/>
      <c r="D17" s="15"/>
      <c r="E17" s="84"/>
      <c r="F17" s="129"/>
      <c r="G17" s="86">
        <v>2023</v>
      </c>
      <c r="H17" s="87">
        <f>K15</f>
        <v>1448.6</v>
      </c>
      <c r="I17" s="140" t="s">
        <v>48</v>
      </c>
      <c r="J17" s="141">
        <f>J15/J16*1000</f>
        <v>6551.1737089201879</v>
      </c>
      <c r="K17" s="142">
        <f>K15/K16*1000</f>
        <v>6931.1004784688994</v>
      </c>
      <c r="L17" s="142">
        <f>L15/L16*1000</f>
        <v>7313.6585365853653</v>
      </c>
      <c r="M17" s="143">
        <f>M15/M16*1000</f>
        <v>7718.9054726368158</v>
      </c>
      <c r="N17" s="7"/>
      <c r="O17" s="7"/>
      <c r="P17" s="134"/>
      <c r="Q17" s="144"/>
      <c r="R17" s="135"/>
      <c r="S17" s="95"/>
      <c r="T17" s="84"/>
      <c r="U17" s="129"/>
      <c r="V17" s="86">
        <v>2027</v>
      </c>
      <c r="W17" s="87">
        <f>Z15</f>
        <v>2535.79</v>
      </c>
      <c r="X17" s="140" t="s">
        <v>139</v>
      </c>
      <c r="Y17" s="141">
        <f>Y15/Y16*1000</f>
        <v>23052.7</v>
      </c>
      <c r="Z17" s="142">
        <f>Z15/Z16*1000</f>
        <v>25357.9</v>
      </c>
      <c r="AA17" s="142">
        <f>AA15/AA16*1000</f>
        <v>27893.7</v>
      </c>
    </row>
    <row r="18" spans="1:28" ht="18" customHeight="1" x14ac:dyDescent="0.25">
      <c r="A18" s="62"/>
      <c r="B18" s="63"/>
      <c r="C18" s="128"/>
      <c r="D18" s="15"/>
      <c r="E18" s="84"/>
      <c r="F18" s="129"/>
      <c r="G18" s="86">
        <v>2024</v>
      </c>
      <c r="H18" s="87">
        <f>L15</f>
        <v>1499.3</v>
      </c>
      <c r="I18" s="145" t="s">
        <v>70</v>
      </c>
      <c r="J18" s="146">
        <v>1</v>
      </c>
      <c r="K18" s="147">
        <v>1</v>
      </c>
      <c r="L18" s="147">
        <v>1</v>
      </c>
      <c r="M18" s="148">
        <v>1</v>
      </c>
      <c r="N18" s="7"/>
      <c r="O18" s="7"/>
      <c r="P18" s="134"/>
      <c r="Q18" s="144"/>
      <c r="R18" s="135"/>
      <c r="S18" s="95"/>
      <c r="T18" s="84"/>
      <c r="U18" s="129"/>
      <c r="V18" s="86">
        <v>2028</v>
      </c>
      <c r="W18" s="87">
        <f>AA15</f>
        <v>2789.37</v>
      </c>
      <c r="X18" s="145" t="s">
        <v>140</v>
      </c>
      <c r="Y18" s="149">
        <v>1</v>
      </c>
      <c r="Z18" s="150">
        <v>1</v>
      </c>
      <c r="AA18" s="150">
        <v>1</v>
      </c>
    </row>
    <row r="19" spans="1:28" ht="44.25" customHeight="1" thickBot="1" x14ac:dyDescent="0.3">
      <c r="A19" s="62"/>
      <c r="B19" s="63"/>
      <c r="C19" s="151"/>
      <c r="D19" s="16"/>
      <c r="E19" s="107"/>
      <c r="F19" s="152"/>
      <c r="G19" s="109">
        <v>2025</v>
      </c>
      <c r="H19" s="110">
        <f>M15</f>
        <v>1551.5</v>
      </c>
      <c r="I19" s="153"/>
      <c r="J19" s="154"/>
      <c r="K19" s="155"/>
      <c r="L19" s="155"/>
      <c r="M19" s="156"/>
      <c r="N19" s="7"/>
      <c r="O19" s="7"/>
      <c r="P19" s="134"/>
      <c r="Q19" s="144"/>
      <c r="R19" s="157"/>
      <c r="S19" s="116"/>
      <c r="T19" s="107"/>
      <c r="U19" s="152"/>
      <c r="V19" s="158"/>
      <c r="W19" s="110"/>
      <c r="X19" s="153"/>
      <c r="Y19" s="159"/>
      <c r="Z19" s="160"/>
      <c r="AA19" s="160"/>
    </row>
    <row r="20" spans="1:28" ht="29.25" customHeight="1" thickBot="1" x14ac:dyDescent="0.3">
      <c r="A20" s="62"/>
      <c r="B20" s="63"/>
      <c r="C20" s="64" t="s">
        <v>49</v>
      </c>
      <c r="D20" s="29" t="s">
        <v>30</v>
      </c>
      <c r="E20" s="29" t="s">
        <v>104</v>
      </c>
      <c r="F20" s="161" t="s">
        <v>3</v>
      </c>
      <c r="G20" s="67" t="s">
        <v>2</v>
      </c>
      <c r="H20" s="68">
        <f>H21+H22+H23+H24</f>
        <v>22977.599999999999</v>
      </c>
      <c r="I20" s="69" t="s">
        <v>95</v>
      </c>
      <c r="J20" s="123">
        <v>5319.4</v>
      </c>
      <c r="K20" s="71">
        <v>5601.3</v>
      </c>
      <c r="L20" s="71">
        <v>5881.4</v>
      </c>
      <c r="M20" s="68">
        <v>6175.5</v>
      </c>
      <c r="N20" s="7"/>
      <c r="O20" s="7"/>
      <c r="P20" s="134"/>
      <c r="Q20" s="144"/>
      <c r="R20" s="74" t="s">
        <v>49</v>
      </c>
      <c r="S20" s="95" t="s">
        <v>113</v>
      </c>
      <c r="T20" s="29" t="s">
        <v>174</v>
      </c>
      <c r="U20" s="29" t="s">
        <v>3</v>
      </c>
      <c r="V20" s="162" t="s">
        <v>2</v>
      </c>
      <c r="W20" s="163">
        <f>W21+W22+W23+W24</f>
        <v>24713.55</v>
      </c>
      <c r="X20" s="126" t="s">
        <v>95</v>
      </c>
      <c r="Y20" s="164">
        <v>7466.33</v>
      </c>
      <c r="Z20" s="78">
        <v>8212.9599999999991</v>
      </c>
      <c r="AA20" s="78">
        <v>9034.26</v>
      </c>
      <c r="AB20" s="4" t="e">
        <f>Y20+Z20+AA20+#REF!-W20</f>
        <v>#REF!</v>
      </c>
    </row>
    <row r="21" spans="1:28" ht="36" customHeight="1" x14ac:dyDescent="0.25">
      <c r="A21" s="62"/>
      <c r="B21" s="63"/>
      <c r="C21" s="83"/>
      <c r="D21" s="15"/>
      <c r="E21" s="15"/>
      <c r="F21" s="165"/>
      <c r="G21" s="86">
        <v>2022</v>
      </c>
      <c r="H21" s="130">
        <f>J20</f>
        <v>5319.4</v>
      </c>
      <c r="I21" s="100" t="s">
        <v>73</v>
      </c>
      <c r="J21" s="166">
        <v>117000</v>
      </c>
      <c r="K21" s="167">
        <v>117100</v>
      </c>
      <c r="L21" s="167">
        <v>117200</v>
      </c>
      <c r="M21" s="168">
        <v>117300</v>
      </c>
      <c r="N21" s="7"/>
      <c r="O21" s="7"/>
      <c r="P21" s="134"/>
      <c r="Q21" s="144"/>
      <c r="R21" s="94"/>
      <c r="S21" s="95"/>
      <c r="T21" s="15"/>
      <c r="U21" s="15"/>
      <c r="V21" s="169">
        <v>2026</v>
      </c>
      <c r="W21" s="170">
        <f>Y20</f>
        <v>7466.33</v>
      </c>
      <c r="X21" s="137" t="s">
        <v>73</v>
      </c>
      <c r="Y21" s="171">
        <v>152000</v>
      </c>
      <c r="Z21" s="172">
        <v>152500</v>
      </c>
      <c r="AA21" s="173">
        <v>153000</v>
      </c>
    </row>
    <row r="22" spans="1:28" ht="46.5" customHeight="1" x14ac:dyDescent="0.25">
      <c r="A22" s="62"/>
      <c r="B22" s="63"/>
      <c r="C22" s="83"/>
      <c r="D22" s="15"/>
      <c r="E22" s="15"/>
      <c r="F22" s="165"/>
      <c r="G22" s="86">
        <v>2023</v>
      </c>
      <c r="H22" s="87">
        <f>K20</f>
        <v>5601.3</v>
      </c>
      <c r="I22" s="100" t="s">
        <v>25</v>
      </c>
      <c r="J22" s="174">
        <v>2560</v>
      </c>
      <c r="K22" s="175">
        <v>2460</v>
      </c>
      <c r="L22" s="175">
        <v>2360</v>
      </c>
      <c r="M22" s="176">
        <v>2260</v>
      </c>
      <c r="N22" s="7"/>
      <c r="O22" s="7"/>
      <c r="P22" s="134"/>
      <c r="Q22" s="144"/>
      <c r="R22" s="94"/>
      <c r="S22" s="95"/>
      <c r="T22" s="15"/>
      <c r="U22" s="15"/>
      <c r="V22" s="102">
        <v>2027</v>
      </c>
      <c r="W22" s="87">
        <f>Z20</f>
        <v>8212.9599999999991</v>
      </c>
      <c r="X22" s="100" t="s">
        <v>25</v>
      </c>
      <c r="Y22" s="174">
        <v>1150</v>
      </c>
      <c r="Z22" s="175">
        <v>1170</v>
      </c>
      <c r="AA22" s="176">
        <v>1180</v>
      </c>
    </row>
    <row r="23" spans="1:28" ht="36" customHeight="1" x14ac:dyDescent="0.25">
      <c r="A23" s="62"/>
      <c r="B23" s="63"/>
      <c r="C23" s="83"/>
      <c r="D23" s="15"/>
      <c r="E23" s="15"/>
      <c r="F23" s="165"/>
      <c r="G23" s="86">
        <v>2024</v>
      </c>
      <c r="H23" s="87">
        <f>L20</f>
        <v>5881.4</v>
      </c>
      <c r="I23" s="100" t="s">
        <v>50</v>
      </c>
      <c r="J23" s="177">
        <f>J20/J21*1000</f>
        <v>45.464957264957263</v>
      </c>
      <c r="K23" s="178">
        <f>K20/K21*1000</f>
        <v>47.833475661827499</v>
      </c>
      <c r="L23" s="178">
        <f>L20/L21*1000</f>
        <v>50.182593856655288</v>
      </c>
      <c r="M23" s="179">
        <f>M20/M21*1000</f>
        <v>52.647058823529413</v>
      </c>
      <c r="N23" s="7"/>
      <c r="O23" s="7"/>
      <c r="P23" s="134"/>
      <c r="Q23" s="144"/>
      <c r="R23" s="94"/>
      <c r="S23" s="95"/>
      <c r="T23" s="15"/>
      <c r="U23" s="15"/>
      <c r="V23" s="102">
        <v>2028</v>
      </c>
      <c r="W23" s="87">
        <f>AA20</f>
        <v>9034.26</v>
      </c>
      <c r="X23" s="100" t="s">
        <v>141</v>
      </c>
      <c r="Y23" s="177">
        <f>Y20/Y21*1000</f>
        <v>49.120592105263157</v>
      </c>
      <c r="Z23" s="178">
        <f>Z20/Z21*1000</f>
        <v>53.85547540983606</v>
      </c>
      <c r="AA23" s="179">
        <f>AA20/AA21</f>
        <v>5.9047450980392158E-2</v>
      </c>
    </row>
    <row r="24" spans="1:28" ht="60" customHeight="1" thickBot="1" x14ac:dyDescent="0.3">
      <c r="A24" s="62"/>
      <c r="B24" s="63"/>
      <c r="C24" s="83"/>
      <c r="D24" s="15"/>
      <c r="E24" s="15"/>
      <c r="F24" s="165"/>
      <c r="G24" s="109">
        <v>2025</v>
      </c>
      <c r="H24" s="110">
        <f>M20</f>
        <v>6175.5</v>
      </c>
      <c r="I24" s="100" t="s">
        <v>74</v>
      </c>
      <c r="J24" s="89">
        <v>2</v>
      </c>
      <c r="K24" s="90">
        <v>2</v>
      </c>
      <c r="L24" s="90">
        <v>2</v>
      </c>
      <c r="M24" s="91">
        <v>2</v>
      </c>
      <c r="N24" s="7"/>
      <c r="O24" s="7"/>
      <c r="P24" s="134"/>
      <c r="Q24" s="144"/>
      <c r="R24" s="94"/>
      <c r="S24" s="95"/>
      <c r="T24" s="15"/>
      <c r="U24" s="15"/>
      <c r="V24" s="102"/>
      <c r="W24" s="87"/>
      <c r="X24" s="100" t="s">
        <v>142</v>
      </c>
      <c r="Y24" s="180">
        <v>9.4999999999999998E-3</v>
      </c>
      <c r="Z24" s="181">
        <v>9.5999999999999992E-3</v>
      </c>
      <c r="AA24" s="182">
        <v>9.7000000000000003E-3</v>
      </c>
    </row>
    <row r="25" spans="1:28" ht="57.75" customHeight="1" x14ac:dyDescent="0.25">
      <c r="A25" s="62"/>
      <c r="B25" s="63"/>
      <c r="C25" s="83"/>
      <c r="D25" s="15"/>
      <c r="E25" s="15"/>
      <c r="F25" s="165"/>
      <c r="G25" s="183"/>
      <c r="H25" s="184"/>
      <c r="I25" s="100" t="s">
        <v>75</v>
      </c>
      <c r="J25" s="185">
        <v>0.55000000000000004</v>
      </c>
      <c r="K25" s="186">
        <v>0.57199999999999995</v>
      </c>
      <c r="L25" s="186">
        <v>0.59699999999999998</v>
      </c>
      <c r="M25" s="187">
        <v>0.623</v>
      </c>
      <c r="N25" s="7"/>
      <c r="O25" s="7"/>
      <c r="P25" s="92"/>
      <c r="Q25" s="144"/>
      <c r="R25" s="94"/>
      <c r="S25" s="95"/>
      <c r="T25" s="15"/>
      <c r="U25" s="15"/>
      <c r="V25" s="188"/>
      <c r="W25" s="189"/>
      <c r="X25" s="190" t="s">
        <v>143</v>
      </c>
      <c r="Y25" s="185">
        <v>0.85</v>
      </c>
      <c r="Z25" s="186">
        <v>0.9</v>
      </c>
      <c r="AA25" s="187">
        <v>0.95</v>
      </c>
    </row>
    <row r="26" spans="1:28" ht="51.75" customHeight="1" thickBot="1" x14ac:dyDescent="0.3">
      <c r="A26" s="62"/>
      <c r="B26" s="63"/>
      <c r="C26" s="106"/>
      <c r="D26" s="16"/>
      <c r="E26" s="16"/>
      <c r="F26" s="191"/>
      <c r="G26" s="192"/>
      <c r="H26" s="193"/>
      <c r="I26" s="111" t="s">
        <v>96</v>
      </c>
      <c r="J26" s="112">
        <v>0.35</v>
      </c>
      <c r="K26" s="113">
        <v>0.35</v>
      </c>
      <c r="L26" s="113">
        <v>0.35</v>
      </c>
      <c r="M26" s="114">
        <v>0.35</v>
      </c>
      <c r="N26" s="7"/>
      <c r="O26" s="7"/>
      <c r="P26" s="92"/>
      <c r="Q26" s="144"/>
      <c r="R26" s="115"/>
      <c r="S26" s="116"/>
      <c r="T26" s="16"/>
      <c r="U26" s="16"/>
      <c r="V26" s="194"/>
      <c r="W26" s="195"/>
      <c r="X26" s="111" t="s">
        <v>144</v>
      </c>
      <c r="Y26" s="119">
        <v>1</v>
      </c>
      <c r="Z26" s="120">
        <v>1</v>
      </c>
      <c r="AA26" s="196">
        <v>1</v>
      </c>
    </row>
    <row r="27" spans="1:28" ht="29.25" customHeight="1" thickBot="1" x14ac:dyDescent="0.3">
      <c r="A27" s="62"/>
      <c r="B27" s="63"/>
      <c r="C27" s="64" t="s">
        <v>51</v>
      </c>
      <c r="D27" s="76" t="s">
        <v>30</v>
      </c>
      <c r="E27" s="65" t="s">
        <v>104</v>
      </c>
      <c r="F27" s="66" t="s">
        <v>3</v>
      </c>
      <c r="G27" s="67" t="s">
        <v>2</v>
      </c>
      <c r="H27" s="68" t="e">
        <f>H28+H29+H30+#REF!</f>
        <v>#REF!</v>
      </c>
      <c r="I27" s="69" t="s">
        <v>95</v>
      </c>
      <c r="J27" s="123">
        <v>4126.6000000000004</v>
      </c>
      <c r="K27" s="71">
        <v>4345.3100000000004</v>
      </c>
      <c r="L27" s="71">
        <v>4562.58</v>
      </c>
      <c r="M27" s="68">
        <v>4790.7</v>
      </c>
      <c r="N27" s="7"/>
      <c r="O27" s="7"/>
      <c r="P27" s="92"/>
      <c r="Q27" s="144"/>
      <c r="R27" s="632" t="s">
        <v>51</v>
      </c>
      <c r="S27" s="197" t="s">
        <v>113</v>
      </c>
      <c r="T27" s="635" t="s">
        <v>174</v>
      </c>
      <c r="U27" s="638" t="s">
        <v>3</v>
      </c>
      <c r="V27" s="198" t="s">
        <v>2</v>
      </c>
      <c r="W27" s="78">
        <f>Y27+Z27+AA27</f>
        <v>18127.64</v>
      </c>
      <c r="X27" s="79" t="s">
        <v>95</v>
      </c>
      <c r="Y27" s="164">
        <v>5476.63</v>
      </c>
      <c r="Z27" s="81">
        <v>6024.29</v>
      </c>
      <c r="AA27" s="82">
        <v>6626.72</v>
      </c>
      <c r="AB27" s="4" t="e">
        <f>Y27+Z27+AA27+#REF!-W27</f>
        <v>#REF!</v>
      </c>
    </row>
    <row r="28" spans="1:28" ht="58.5" customHeight="1" x14ac:dyDescent="0.25">
      <c r="A28" s="62"/>
      <c r="B28" s="63"/>
      <c r="C28" s="83"/>
      <c r="D28" s="96"/>
      <c r="E28" s="84"/>
      <c r="F28" s="85"/>
      <c r="G28" s="86">
        <v>2022</v>
      </c>
      <c r="H28" s="130">
        <f>J27</f>
        <v>4126.6000000000004</v>
      </c>
      <c r="I28" s="100" t="s">
        <v>52</v>
      </c>
      <c r="J28" s="174">
        <v>3350</v>
      </c>
      <c r="K28" s="175">
        <v>3350</v>
      </c>
      <c r="L28" s="175">
        <v>3350</v>
      </c>
      <c r="M28" s="176">
        <v>3350</v>
      </c>
      <c r="N28" s="7"/>
      <c r="O28" s="7"/>
      <c r="P28" s="92"/>
      <c r="Q28" s="144"/>
      <c r="R28" s="633"/>
      <c r="S28" s="199"/>
      <c r="T28" s="636"/>
      <c r="U28" s="639"/>
      <c r="V28" s="200">
        <v>2026</v>
      </c>
      <c r="W28" s="136">
        <f>Y27</f>
        <v>5476.63</v>
      </c>
      <c r="X28" s="201" t="s">
        <v>52</v>
      </c>
      <c r="Y28" s="202">
        <v>2200</v>
      </c>
      <c r="Z28" s="203">
        <v>2200</v>
      </c>
      <c r="AA28" s="203">
        <v>2200</v>
      </c>
    </row>
    <row r="29" spans="1:28" ht="46.5" customHeight="1" x14ac:dyDescent="0.25">
      <c r="A29" s="62"/>
      <c r="B29" s="63"/>
      <c r="C29" s="83"/>
      <c r="D29" s="96"/>
      <c r="E29" s="84"/>
      <c r="F29" s="85"/>
      <c r="G29" s="86">
        <v>2023</v>
      </c>
      <c r="H29" s="87">
        <f>K27</f>
        <v>4345.3100000000004</v>
      </c>
      <c r="I29" s="140" t="s">
        <v>60</v>
      </c>
      <c r="J29" s="204">
        <f>J27/J28*1000</f>
        <v>1231.8208955223881</v>
      </c>
      <c r="K29" s="205">
        <f>K27/K28*1000</f>
        <v>1297.1074626865673</v>
      </c>
      <c r="L29" s="205">
        <f>L27/L28*1000</f>
        <v>1361.9641791044776</v>
      </c>
      <c r="M29" s="87">
        <f>M27/M28*1000</f>
        <v>1430.0597014925374</v>
      </c>
      <c r="N29" s="7"/>
      <c r="O29" s="7"/>
      <c r="P29" s="92"/>
      <c r="Q29" s="144"/>
      <c r="R29" s="633"/>
      <c r="S29" s="199"/>
      <c r="T29" s="636"/>
      <c r="U29" s="639"/>
      <c r="V29" s="86">
        <v>2027</v>
      </c>
      <c r="W29" s="206">
        <f>Z27</f>
        <v>6024.29</v>
      </c>
      <c r="X29" s="140" t="s">
        <v>145</v>
      </c>
      <c r="Y29" s="207">
        <f>Y27/Y28*1000</f>
        <v>2489.3772727272731</v>
      </c>
      <c r="Z29" s="208">
        <f>Z27/Z28*1000</f>
        <v>2738.3136363636363</v>
      </c>
      <c r="AA29" s="205">
        <f>AA27/AA28*1000</f>
        <v>3012.1454545454544</v>
      </c>
    </row>
    <row r="30" spans="1:28" ht="59.25" customHeight="1" thickBot="1" x14ac:dyDescent="0.3">
      <c r="A30" s="62"/>
      <c r="B30" s="63"/>
      <c r="C30" s="83"/>
      <c r="D30" s="96"/>
      <c r="E30" s="84"/>
      <c r="F30" s="85"/>
      <c r="G30" s="86">
        <v>2024</v>
      </c>
      <c r="H30" s="87">
        <f>L27</f>
        <v>4562.58</v>
      </c>
      <c r="I30" s="140" t="s">
        <v>76</v>
      </c>
      <c r="J30" s="209">
        <v>1</v>
      </c>
      <c r="K30" s="210">
        <v>1</v>
      </c>
      <c r="L30" s="210">
        <v>1</v>
      </c>
      <c r="M30" s="211">
        <v>1</v>
      </c>
      <c r="N30" s="7"/>
      <c r="O30" s="7"/>
      <c r="P30" s="92"/>
      <c r="Q30" s="144"/>
      <c r="R30" s="634"/>
      <c r="S30" s="212"/>
      <c r="T30" s="637"/>
      <c r="U30" s="640"/>
      <c r="V30" s="109">
        <v>2028</v>
      </c>
      <c r="W30" s="110">
        <f>AA27</f>
        <v>6626.72</v>
      </c>
      <c r="X30" s="111" t="s">
        <v>128</v>
      </c>
      <c r="Y30" s="119">
        <v>1</v>
      </c>
      <c r="Z30" s="213">
        <v>1</v>
      </c>
      <c r="AA30" s="196">
        <v>1</v>
      </c>
    </row>
    <row r="31" spans="1:28" ht="23.25" customHeight="1" thickBot="1" x14ac:dyDescent="0.3">
      <c r="A31" s="62"/>
      <c r="B31" s="63"/>
      <c r="C31" s="64" t="s">
        <v>26</v>
      </c>
      <c r="D31" s="76" t="s">
        <v>27</v>
      </c>
      <c r="E31" s="65" t="s">
        <v>105</v>
      </c>
      <c r="F31" s="214" t="s">
        <v>3</v>
      </c>
      <c r="G31" s="67" t="s">
        <v>2</v>
      </c>
      <c r="H31" s="71" t="e">
        <f>H32+H33+H34+#REF!</f>
        <v>#REF!</v>
      </c>
      <c r="I31" s="215" t="s">
        <v>95</v>
      </c>
      <c r="J31" s="216">
        <v>12141.5</v>
      </c>
      <c r="K31" s="71">
        <v>13641.7</v>
      </c>
      <c r="L31" s="71">
        <v>15219.1</v>
      </c>
      <c r="M31" s="68">
        <v>16921.099999999999</v>
      </c>
      <c r="N31" s="7"/>
      <c r="O31" s="7"/>
      <c r="P31" s="92"/>
      <c r="Q31" s="144"/>
      <c r="R31" s="217" t="s">
        <v>119</v>
      </c>
      <c r="S31" s="218" t="s">
        <v>114</v>
      </c>
      <c r="T31" s="219" t="s">
        <v>176</v>
      </c>
      <c r="U31" s="220" t="s">
        <v>3</v>
      </c>
      <c r="V31" s="221" t="s">
        <v>2</v>
      </c>
      <c r="W31" s="222">
        <f>Y31+Z31+AA31</f>
        <v>693.90000000000009</v>
      </c>
      <c r="X31" s="223" t="s">
        <v>95</v>
      </c>
      <c r="Y31" s="224">
        <v>231.3</v>
      </c>
      <c r="Z31" s="225">
        <v>231.3</v>
      </c>
      <c r="AA31" s="225">
        <v>231.3</v>
      </c>
      <c r="AB31" s="4" t="e">
        <f>Y31+Z31+AA31+#REF!-W31</f>
        <v>#REF!</v>
      </c>
    </row>
    <row r="32" spans="1:28" ht="48" customHeight="1" x14ac:dyDescent="0.25">
      <c r="A32" s="62"/>
      <c r="B32" s="63"/>
      <c r="C32" s="83"/>
      <c r="D32" s="96"/>
      <c r="E32" s="84"/>
      <c r="F32" s="226"/>
      <c r="G32" s="86">
        <v>2022</v>
      </c>
      <c r="H32" s="205">
        <f>J31</f>
        <v>12141.5</v>
      </c>
      <c r="I32" s="227" t="s">
        <v>100</v>
      </c>
      <c r="J32" s="166">
        <v>409910</v>
      </c>
      <c r="K32" s="167">
        <v>437237</v>
      </c>
      <c r="L32" s="167">
        <v>464564</v>
      </c>
      <c r="M32" s="168">
        <v>491891</v>
      </c>
      <c r="N32" s="7"/>
      <c r="O32" s="7"/>
      <c r="P32" s="92"/>
      <c r="Q32" s="144"/>
      <c r="R32" s="228"/>
      <c r="S32" s="229"/>
      <c r="T32" s="230"/>
      <c r="U32" s="231"/>
      <c r="V32" s="232">
        <v>2026</v>
      </c>
      <c r="W32" s="233">
        <f>Y31</f>
        <v>231.3</v>
      </c>
      <c r="X32" s="234" t="s">
        <v>146</v>
      </c>
      <c r="Y32" s="235">
        <v>4000</v>
      </c>
      <c r="Z32" s="236">
        <v>4000</v>
      </c>
      <c r="AA32" s="237">
        <v>4000</v>
      </c>
    </row>
    <row r="33" spans="1:28" ht="44.25" customHeight="1" x14ac:dyDescent="0.25">
      <c r="A33" s="62"/>
      <c r="B33" s="63"/>
      <c r="C33" s="83"/>
      <c r="D33" s="96"/>
      <c r="E33" s="84"/>
      <c r="F33" s="226"/>
      <c r="G33" s="86">
        <v>2023</v>
      </c>
      <c r="H33" s="205">
        <f>K31</f>
        <v>13641.7</v>
      </c>
      <c r="I33" s="227" t="s">
        <v>61</v>
      </c>
      <c r="J33" s="238">
        <f>J31/J32*1000</f>
        <v>29.619916567051305</v>
      </c>
      <c r="K33" s="239">
        <f>K31/K32*1000</f>
        <v>31.199784098783958</v>
      </c>
      <c r="L33" s="239">
        <f>L31/L32*1000</f>
        <v>32.75996418146908</v>
      </c>
      <c r="M33" s="240">
        <f>M31/M32*1000</f>
        <v>34.400100835347672</v>
      </c>
      <c r="N33" s="7"/>
      <c r="O33" s="7"/>
      <c r="P33" s="92"/>
      <c r="Q33" s="144"/>
      <c r="R33" s="228"/>
      <c r="S33" s="229"/>
      <c r="T33" s="230"/>
      <c r="U33" s="231"/>
      <c r="V33" s="86">
        <v>2027</v>
      </c>
      <c r="W33" s="241">
        <f>Z31</f>
        <v>231.3</v>
      </c>
      <c r="X33" s="242" t="s">
        <v>147</v>
      </c>
      <c r="Y33" s="243">
        <f>Y31/Y32*1000</f>
        <v>57.825000000000003</v>
      </c>
      <c r="Z33" s="244">
        <f>Z31/Z32*1000</f>
        <v>57.825000000000003</v>
      </c>
      <c r="AA33" s="245">
        <f>AA31/AA32*1000</f>
        <v>57.825000000000003</v>
      </c>
    </row>
    <row r="34" spans="1:28" ht="35.25" customHeight="1" thickBot="1" x14ac:dyDescent="0.3">
      <c r="A34" s="62"/>
      <c r="B34" s="63"/>
      <c r="C34" s="83"/>
      <c r="D34" s="96"/>
      <c r="E34" s="84"/>
      <c r="F34" s="226"/>
      <c r="G34" s="86">
        <v>2024</v>
      </c>
      <c r="H34" s="205">
        <f>L31</f>
        <v>15219.1</v>
      </c>
      <c r="I34" s="227" t="s">
        <v>77</v>
      </c>
      <c r="J34" s="246">
        <v>0.75</v>
      </c>
      <c r="K34" s="247">
        <v>0.8</v>
      </c>
      <c r="L34" s="247">
        <v>0.85</v>
      </c>
      <c r="M34" s="248">
        <v>0.9</v>
      </c>
      <c r="N34" s="7"/>
      <c r="O34" s="7"/>
      <c r="P34" s="92"/>
      <c r="Q34" s="144"/>
      <c r="R34" s="228"/>
      <c r="S34" s="229"/>
      <c r="T34" s="230"/>
      <c r="U34" s="231"/>
      <c r="V34" s="86">
        <v>2028</v>
      </c>
      <c r="W34" s="241">
        <f>AA31</f>
        <v>231.3</v>
      </c>
      <c r="X34" s="249" t="s">
        <v>108</v>
      </c>
      <c r="Y34" s="250">
        <v>0.95</v>
      </c>
      <c r="Z34" s="251">
        <v>0.95</v>
      </c>
      <c r="AA34" s="252">
        <v>0.95</v>
      </c>
    </row>
    <row r="35" spans="1:28" ht="21" hidden="1" customHeight="1" x14ac:dyDescent="0.25">
      <c r="A35" s="62"/>
      <c r="B35" s="63"/>
      <c r="C35" s="253"/>
      <c r="D35" s="13"/>
      <c r="E35" s="254"/>
      <c r="F35" s="255"/>
      <c r="G35" s="256" t="s">
        <v>2</v>
      </c>
      <c r="H35" s="257" t="e">
        <f>H31+#REF!+H27+H20+H15+H10</f>
        <v>#REF!</v>
      </c>
      <c r="I35" s="258"/>
      <c r="J35" s="259"/>
      <c r="K35" s="260"/>
      <c r="L35" s="260"/>
      <c r="M35" s="261"/>
      <c r="N35" s="7"/>
      <c r="O35" s="7"/>
      <c r="P35" s="92"/>
      <c r="Q35" s="144"/>
      <c r="R35" s="262"/>
      <c r="S35" s="263"/>
      <c r="T35" s="264"/>
      <c r="U35" s="265"/>
      <c r="V35" s="266" t="s">
        <v>2</v>
      </c>
      <c r="W35" s="267" t="e">
        <f>W31+#REF!+W27+W20+W15+W10</f>
        <v>#REF!</v>
      </c>
      <c r="X35" s="262"/>
      <c r="Y35" s="268"/>
      <c r="Z35" s="269"/>
      <c r="AA35" s="269"/>
    </row>
    <row r="36" spans="1:28" ht="21" hidden="1" customHeight="1" x14ac:dyDescent="0.25">
      <c r="A36" s="62"/>
      <c r="B36" s="63"/>
      <c r="C36" s="253"/>
      <c r="D36" s="13"/>
      <c r="E36" s="254"/>
      <c r="F36" s="255"/>
      <c r="G36" s="256">
        <v>2022</v>
      </c>
      <c r="H36" s="257" t="e">
        <f>H32+#REF!+H28+H21+H16+H11</f>
        <v>#REF!</v>
      </c>
      <c r="I36" s="258"/>
      <c r="J36" s="259"/>
      <c r="K36" s="260"/>
      <c r="L36" s="260"/>
      <c r="M36" s="261"/>
      <c r="N36" s="7"/>
      <c r="O36" s="7"/>
      <c r="P36" s="92"/>
      <c r="Q36" s="144"/>
      <c r="R36" s="262"/>
      <c r="S36" s="263"/>
      <c r="T36" s="264"/>
      <c r="U36" s="265"/>
      <c r="V36" s="266">
        <v>2022</v>
      </c>
      <c r="W36" s="267" t="e">
        <f>W32+#REF!+W28+W21+W16+W11</f>
        <v>#REF!</v>
      </c>
      <c r="X36" s="262"/>
      <c r="Y36" s="268"/>
      <c r="Z36" s="269"/>
      <c r="AA36" s="269"/>
    </row>
    <row r="37" spans="1:28" ht="28.5" customHeight="1" thickBot="1" x14ac:dyDescent="0.3">
      <c r="A37" s="62"/>
      <c r="B37" s="63"/>
      <c r="C37" s="64" t="s">
        <v>53</v>
      </c>
      <c r="D37" s="76" t="s">
        <v>27</v>
      </c>
      <c r="E37" s="65" t="s">
        <v>105</v>
      </c>
      <c r="F37" s="270" t="s">
        <v>3</v>
      </c>
      <c r="G37" s="271" t="s">
        <v>2</v>
      </c>
      <c r="H37" s="272" t="e">
        <f>#REF!+H38+H39+H40</f>
        <v>#REF!</v>
      </c>
      <c r="I37" s="69" t="s">
        <v>95</v>
      </c>
      <c r="J37" s="216">
        <v>552.70000000000005</v>
      </c>
      <c r="K37" s="71">
        <v>645.6</v>
      </c>
      <c r="L37" s="71">
        <v>747.8</v>
      </c>
      <c r="M37" s="68">
        <v>863.7</v>
      </c>
      <c r="N37" s="7"/>
      <c r="O37" s="7"/>
      <c r="P37" s="92"/>
      <c r="Q37" s="144"/>
      <c r="R37" s="273" t="s">
        <v>149</v>
      </c>
      <c r="S37" s="274" t="s">
        <v>113</v>
      </c>
      <c r="T37" s="275" t="s">
        <v>177</v>
      </c>
      <c r="U37" s="276" t="s">
        <v>3</v>
      </c>
      <c r="V37" s="52" t="s">
        <v>2</v>
      </c>
      <c r="W37" s="277">
        <f>Y37+Z37+AA37</f>
        <v>20571.150000000001</v>
      </c>
      <c r="X37" s="126" t="s">
        <v>95</v>
      </c>
      <c r="Y37" s="225">
        <v>6857.05</v>
      </c>
      <c r="Z37" s="225">
        <v>6857.05</v>
      </c>
      <c r="AA37" s="225">
        <v>6857.05</v>
      </c>
      <c r="AB37" s="4" t="e">
        <f>Y37+Z37+AA37+#REF!-W37</f>
        <v>#REF!</v>
      </c>
    </row>
    <row r="38" spans="1:28" ht="31.5" customHeight="1" thickBot="1" x14ac:dyDescent="0.3">
      <c r="A38" s="62"/>
      <c r="B38" s="63"/>
      <c r="C38" s="83"/>
      <c r="D38" s="96"/>
      <c r="E38" s="84"/>
      <c r="F38" s="278"/>
      <c r="G38" s="279">
        <v>2023</v>
      </c>
      <c r="H38" s="280">
        <f>K37</f>
        <v>645.6</v>
      </c>
      <c r="I38" s="100" t="s">
        <v>61</v>
      </c>
      <c r="J38" s="281" t="e">
        <f>J37/#REF!*1000</f>
        <v>#REF!</v>
      </c>
      <c r="K38" s="282" t="e">
        <f>K37/#REF!*1000</f>
        <v>#REF!</v>
      </c>
      <c r="L38" s="282" t="e">
        <f>L37/#REF!*1000</f>
        <v>#REF!</v>
      </c>
      <c r="M38" s="130" t="e">
        <f>M37/#REF!*1000</f>
        <v>#REF!</v>
      </c>
      <c r="N38" s="7"/>
      <c r="O38" s="7"/>
      <c r="P38" s="92"/>
      <c r="Q38" s="144"/>
      <c r="R38" s="283"/>
      <c r="S38" s="284"/>
      <c r="T38" s="285"/>
      <c r="U38" s="286"/>
      <c r="V38" s="287">
        <v>2026</v>
      </c>
      <c r="W38" s="288">
        <f>Y37</f>
        <v>6857.05</v>
      </c>
      <c r="X38" s="289" t="s">
        <v>63</v>
      </c>
      <c r="Y38" s="290">
        <v>6390</v>
      </c>
      <c r="Z38" s="290">
        <v>6390</v>
      </c>
      <c r="AA38" s="291">
        <v>6390</v>
      </c>
    </row>
    <row r="39" spans="1:28" ht="48" customHeight="1" thickBot="1" x14ac:dyDescent="0.3">
      <c r="A39" s="62"/>
      <c r="B39" s="63"/>
      <c r="C39" s="83"/>
      <c r="D39" s="96"/>
      <c r="E39" s="84"/>
      <c r="F39" s="278"/>
      <c r="G39" s="279">
        <v>2024</v>
      </c>
      <c r="H39" s="280">
        <f>L37</f>
        <v>747.8</v>
      </c>
      <c r="I39" s="292" t="s">
        <v>78</v>
      </c>
      <c r="J39" s="293">
        <v>0.75</v>
      </c>
      <c r="K39" s="294">
        <v>0.8</v>
      </c>
      <c r="L39" s="294">
        <v>0.85</v>
      </c>
      <c r="M39" s="295">
        <v>0.9</v>
      </c>
      <c r="N39" s="7"/>
      <c r="O39" s="7"/>
      <c r="P39" s="92"/>
      <c r="Q39" s="144"/>
      <c r="R39" s="283"/>
      <c r="S39" s="284"/>
      <c r="T39" s="285"/>
      <c r="U39" s="286"/>
      <c r="V39" s="287"/>
      <c r="W39" s="288"/>
      <c r="X39" s="296" t="s">
        <v>148</v>
      </c>
      <c r="Y39" s="235">
        <v>1065</v>
      </c>
      <c r="Z39" s="236">
        <v>1065</v>
      </c>
      <c r="AA39" s="237">
        <v>1065</v>
      </c>
    </row>
    <row r="40" spans="1:28" ht="21.75" customHeight="1" thickBot="1" x14ac:dyDescent="0.3">
      <c r="A40" s="62"/>
      <c r="B40" s="63"/>
      <c r="C40" s="106"/>
      <c r="D40" s="117"/>
      <c r="E40" s="107"/>
      <c r="F40" s="297"/>
      <c r="G40" s="298">
        <v>2025</v>
      </c>
      <c r="H40" s="299">
        <f>M37</f>
        <v>863.7</v>
      </c>
      <c r="I40" s="300"/>
      <c r="J40" s="301"/>
      <c r="K40" s="302"/>
      <c r="L40" s="302"/>
      <c r="M40" s="303"/>
      <c r="N40" s="7"/>
      <c r="O40" s="7"/>
      <c r="P40" s="92"/>
      <c r="Q40" s="144"/>
      <c r="R40" s="283"/>
      <c r="S40" s="284"/>
      <c r="T40" s="285"/>
      <c r="U40" s="286"/>
      <c r="V40" s="304"/>
      <c r="W40" s="288"/>
      <c r="X40" s="305" t="s">
        <v>20</v>
      </c>
      <c r="Y40" s="235">
        <v>880</v>
      </c>
      <c r="Z40" s="236">
        <v>880</v>
      </c>
      <c r="AA40" s="237">
        <v>880</v>
      </c>
    </row>
    <row r="41" spans="1:28" ht="23.25" customHeight="1" x14ac:dyDescent="0.25">
      <c r="A41" s="62"/>
      <c r="B41" s="63"/>
      <c r="C41" s="64" t="s">
        <v>33</v>
      </c>
      <c r="D41" s="76" t="s">
        <v>27</v>
      </c>
      <c r="E41" s="65" t="s">
        <v>106</v>
      </c>
      <c r="F41" s="270" t="s">
        <v>3</v>
      </c>
      <c r="G41" s="306" t="s">
        <v>2</v>
      </c>
      <c r="H41" s="307">
        <f>H42+H43+H44+H45</f>
        <v>64.5</v>
      </c>
      <c r="I41" s="69" t="s">
        <v>95</v>
      </c>
      <c r="J41" s="123">
        <v>14.9</v>
      </c>
      <c r="K41" s="308">
        <v>15.8</v>
      </c>
      <c r="L41" s="308">
        <v>16.5</v>
      </c>
      <c r="M41" s="136">
        <v>17.3</v>
      </c>
      <c r="N41" s="7"/>
      <c r="O41" s="7"/>
      <c r="P41" s="92"/>
      <c r="Q41" s="144"/>
      <c r="R41" s="283"/>
      <c r="S41" s="284"/>
      <c r="T41" s="285"/>
      <c r="U41" s="286"/>
      <c r="V41" s="304">
        <v>2027</v>
      </c>
      <c r="W41" s="288">
        <f>Z37</f>
        <v>6857.05</v>
      </c>
      <c r="X41" s="305" t="s">
        <v>21</v>
      </c>
      <c r="Y41" s="235">
        <v>185</v>
      </c>
      <c r="Z41" s="236">
        <v>185</v>
      </c>
      <c r="AA41" s="237">
        <v>185</v>
      </c>
      <c r="AB41" s="4" t="e">
        <f>Y41+Z41+AA41+#REF!-W41</f>
        <v>#REF!</v>
      </c>
    </row>
    <row r="42" spans="1:28" ht="45" customHeight="1" x14ac:dyDescent="0.25">
      <c r="A42" s="62"/>
      <c r="B42" s="63"/>
      <c r="C42" s="83"/>
      <c r="D42" s="96"/>
      <c r="E42" s="84"/>
      <c r="F42" s="278"/>
      <c r="G42" s="279">
        <v>2022</v>
      </c>
      <c r="H42" s="309">
        <f>J41</f>
        <v>14.9</v>
      </c>
      <c r="I42" s="310" t="s">
        <v>79</v>
      </c>
      <c r="J42" s="131">
        <v>30</v>
      </c>
      <c r="K42" s="132">
        <v>30</v>
      </c>
      <c r="L42" s="132">
        <v>30</v>
      </c>
      <c r="M42" s="133">
        <v>30</v>
      </c>
      <c r="N42" s="7"/>
      <c r="O42" s="7"/>
      <c r="P42" s="92"/>
      <c r="Q42" s="144"/>
      <c r="R42" s="283"/>
      <c r="S42" s="284"/>
      <c r="T42" s="285"/>
      <c r="U42" s="286"/>
      <c r="V42" s="278"/>
      <c r="W42" s="288"/>
      <c r="X42" s="305" t="s">
        <v>129</v>
      </c>
      <c r="Y42" s="311">
        <f>Y37/Y39*1000</f>
        <v>6438.5446009389671</v>
      </c>
      <c r="Z42" s="311">
        <f>Z37/Z39*1000</f>
        <v>6438.5446009389671</v>
      </c>
      <c r="AA42" s="311">
        <f>AA37/AA39*1000</f>
        <v>6438.5446009389671</v>
      </c>
    </row>
    <row r="43" spans="1:28" ht="37.5" customHeight="1" x14ac:dyDescent="0.25">
      <c r="A43" s="62"/>
      <c r="B43" s="63"/>
      <c r="C43" s="83"/>
      <c r="D43" s="96"/>
      <c r="E43" s="84"/>
      <c r="F43" s="278"/>
      <c r="G43" s="279">
        <v>2023</v>
      </c>
      <c r="H43" s="309">
        <f>K41</f>
        <v>15.8</v>
      </c>
      <c r="I43" s="310" t="s">
        <v>80</v>
      </c>
      <c r="J43" s="312">
        <f>J41/J42*1000</f>
        <v>496.66666666666669</v>
      </c>
      <c r="K43" s="313">
        <f>K41/K42*1000</f>
        <v>526.66666666666674</v>
      </c>
      <c r="L43" s="313">
        <f>L41/L42*1000</f>
        <v>550</v>
      </c>
      <c r="M43" s="314">
        <f>M41/M42*1000</f>
        <v>576.66666666666663</v>
      </c>
      <c r="N43" s="7"/>
      <c r="O43" s="7"/>
      <c r="P43" s="92"/>
      <c r="Q43" s="144"/>
      <c r="R43" s="283"/>
      <c r="S43" s="284"/>
      <c r="T43" s="285"/>
      <c r="U43" s="286"/>
      <c r="V43" s="315">
        <v>2028</v>
      </c>
      <c r="W43" s="316">
        <f>AA37</f>
        <v>6857.05</v>
      </c>
      <c r="X43" s="305" t="s">
        <v>115</v>
      </c>
      <c r="Y43" s="317">
        <f>Y37/Y38*1000</f>
        <v>1073.0907668231614</v>
      </c>
      <c r="Z43" s="318">
        <f>Z37/Z38*1000</f>
        <v>1073.0907668231614</v>
      </c>
      <c r="AA43" s="319">
        <f>AA37/AA38*1000</f>
        <v>1073.0907668231614</v>
      </c>
    </row>
    <row r="44" spans="1:28" ht="21" customHeight="1" x14ac:dyDescent="0.25">
      <c r="A44" s="62"/>
      <c r="B44" s="63"/>
      <c r="C44" s="83"/>
      <c r="D44" s="96"/>
      <c r="E44" s="84"/>
      <c r="F44" s="278"/>
      <c r="G44" s="279">
        <v>2024</v>
      </c>
      <c r="H44" s="309">
        <f>L41</f>
        <v>16.5</v>
      </c>
      <c r="I44" s="292" t="s">
        <v>62</v>
      </c>
      <c r="J44" s="293">
        <v>0.91</v>
      </c>
      <c r="K44" s="294">
        <v>0.92</v>
      </c>
      <c r="L44" s="294">
        <v>0.93</v>
      </c>
      <c r="M44" s="295">
        <v>0.94</v>
      </c>
      <c r="N44" s="7"/>
      <c r="O44" s="7"/>
      <c r="P44" s="92"/>
      <c r="Q44" s="144"/>
      <c r="R44" s="283"/>
      <c r="S44" s="284"/>
      <c r="T44" s="285"/>
      <c r="U44" s="286"/>
      <c r="V44" s="320"/>
      <c r="W44" s="321"/>
      <c r="X44" s="322" t="s">
        <v>55</v>
      </c>
      <c r="Y44" s="323">
        <v>1.024</v>
      </c>
      <c r="Z44" s="324">
        <v>1.0229999999999999</v>
      </c>
      <c r="AA44" s="325">
        <v>1.022</v>
      </c>
    </row>
    <row r="45" spans="1:28" ht="27" customHeight="1" thickBot="1" x14ac:dyDescent="0.3">
      <c r="A45" s="62"/>
      <c r="B45" s="63"/>
      <c r="C45" s="106"/>
      <c r="D45" s="117"/>
      <c r="E45" s="107"/>
      <c r="F45" s="297"/>
      <c r="G45" s="298">
        <v>2025</v>
      </c>
      <c r="H45" s="326">
        <f>M41</f>
        <v>17.3</v>
      </c>
      <c r="I45" s="300"/>
      <c r="J45" s="301"/>
      <c r="K45" s="302"/>
      <c r="L45" s="302"/>
      <c r="M45" s="303"/>
      <c r="N45" s="7"/>
      <c r="O45" s="7"/>
      <c r="P45" s="92"/>
      <c r="Q45" s="144"/>
      <c r="R45" s="327"/>
      <c r="S45" s="328"/>
      <c r="T45" s="329"/>
      <c r="U45" s="330"/>
      <c r="V45" s="331"/>
      <c r="W45" s="332"/>
      <c r="X45" s="333"/>
      <c r="Y45" s="334"/>
      <c r="Z45" s="335"/>
      <c r="AA45" s="336"/>
    </row>
    <row r="46" spans="1:28" ht="24.75" customHeight="1" thickBot="1" x14ac:dyDescent="0.3">
      <c r="A46" s="62"/>
      <c r="B46" s="63"/>
      <c r="C46" s="253"/>
      <c r="D46" s="13"/>
      <c r="E46" s="337"/>
      <c r="F46" s="255"/>
      <c r="G46" s="338"/>
      <c r="H46" s="339"/>
      <c r="I46" s="340"/>
      <c r="J46" s="341"/>
      <c r="K46" s="260"/>
      <c r="L46" s="260"/>
      <c r="M46" s="261"/>
      <c r="N46" s="7"/>
      <c r="O46" s="7"/>
      <c r="P46" s="92"/>
      <c r="Q46" s="342"/>
      <c r="R46" s="343" t="s">
        <v>150</v>
      </c>
      <c r="S46" s="65" t="s">
        <v>113</v>
      </c>
      <c r="T46" s="76" t="s">
        <v>178</v>
      </c>
      <c r="U46" s="65" t="s">
        <v>3</v>
      </c>
      <c r="V46" s="344" t="s">
        <v>11</v>
      </c>
      <c r="W46" s="10">
        <f>Y46+Z46+AA46</f>
        <v>1285.94</v>
      </c>
      <c r="X46" s="126" t="s">
        <v>95</v>
      </c>
      <c r="Y46" s="345">
        <v>388.5</v>
      </c>
      <c r="Z46" s="346">
        <v>427.35</v>
      </c>
      <c r="AA46" s="347">
        <v>470.09</v>
      </c>
    </row>
    <row r="47" spans="1:28" ht="45.75" customHeight="1" x14ac:dyDescent="0.25">
      <c r="A47" s="62"/>
      <c r="B47" s="63"/>
      <c r="C47" s="253"/>
      <c r="D47" s="13"/>
      <c r="E47" s="337"/>
      <c r="F47" s="255"/>
      <c r="G47" s="338"/>
      <c r="H47" s="339"/>
      <c r="I47" s="340"/>
      <c r="J47" s="341"/>
      <c r="K47" s="260"/>
      <c r="L47" s="260"/>
      <c r="M47" s="261"/>
      <c r="N47" s="7"/>
      <c r="O47" s="7"/>
      <c r="P47" s="92"/>
      <c r="Q47" s="342"/>
      <c r="R47" s="348"/>
      <c r="S47" s="84"/>
      <c r="T47" s="96"/>
      <c r="U47" s="84"/>
      <c r="V47" s="349">
        <v>2026</v>
      </c>
      <c r="W47" s="350">
        <f>Y46</f>
        <v>388.5</v>
      </c>
      <c r="X47" s="351" t="s">
        <v>131</v>
      </c>
      <c r="Y47" s="352">
        <v>2035</v>
      </c>
      <c r="Z47" s="172">
        <v>2035</v>
      </c>
      <c r="AA47" s="353">
        <v>2035</v>
      </c>
    </row>
    <row r="48" spans="1:28" ht="36.75" customHeight="1" x14ac:dyDescent="0.25">
      <c r="A48" s="62"/>
      <c r="B48" s="63"/>
      <c r="C48" s="253"/>
      <c r="D48" s="13"/>
      <c r="E48" s="337"/>
      <c r="F48" s="255"/>
      <c r="G48" s="338"/>
      <c r="H48" s="339"/>
      <c r="I48" s="340"/>
      <c r="J48" s="341"/>
      <c r="K48" s="260"/>
      <c r="L48" s="260"/>
      <c r="M48" s="261"/>
      <c r="N48" s="7"/>
      <c r="O48" s="7"/>
      <c r="P48" s="92"/>
      <c r="Q48" s="342"/>
      <c r="R48" s="348"/>
      <c r="S48" s="84"/>
      <c r="T48" s="96"/>
      <c r="U48" s="84"/>
      <c r="V48" s="315">
        <v>2027</v>
      </c>
      <c r="W48" s="309">
        <f>Z46</f>
        <v>427.35</v>
      </c>
      <c r="X48" s="190" t="s">
        <v>83</v>
      </c>
      <c r="Y48" s="354">
        <f>Y46/Y47*1000</f>
        <v>190.90909090909091</v>
      </c>
      <c r="Z48" s="313">
        <f>Z46/Z47*1000</f>
        <v>210.00000000000003</v>
      </c>
      <c r="AA48" s="319">
        <f>AA46/AA47*1000</f>
        <v>231.00245700245699</v>
      </c>
    </row>
    <row r="49" spans="1:28" ht="50.25" customHeight="1" thickBot="1" x14ac:dyDescent="0.3">
      <c r="A49" s="62"/>
      <c r="B49" s="63"/>
      <c r="C49" s="253"/>
      <c r="D49" s="13"/>
      <c r="E49" s="337"/>
      <c r="F49" s="255"/>
      <c r="G49" s="338"/>
      <c r="H49" s="339"/>
      <c r="I49" s="340"/>
      <c r="J49" s="341"/>
      <c r="K49" s="260"/>
      <c r="L49" s="260"/>
      <c r="M49" s="261"/>
      <c r="N49" s="7"/>
      <c r="O49" s="7"/>
      <c r="P49" s="92"/>
      <c r="Q49" s="342"/>
      <c r="R49" s="355"/>
      <c r="S49" s="356"/>
      <c r="T49" s="357"/>
      <c r="U49" s="356"/>
      <c r="V49" s="358">
        <v>2028</v>
      </c>
      <c r="W49" s="359">
        <f>AA46</f>
        <v>470.09</v>
      </c>
      <c r="X49" s="360" t="s">
        <v>151</v>
      </c>
      <c r="Y49" s="361">
        <v>1</v>
      </c>
      <c r="Z49" s="362">
        <v>1</v>
      </c>
      <c r="AA49" s="363">
        <v>1</v>
      </c>
    </row>
    <row r="50" spans="1:28" ht="23.25" customHeight="1" thickBot="1" x14ac:dyDescent="0.3">
      <c r="A50" s="62"/>
      <c r="B50" s="63"/>
      <c r="C50" s="253"/>
      <c r="D50" s="13"/>
      <c r="E50" s="337"/>
      <c r="F50" s="255"/>
      <c r="G50" s="338"/>
      <c r="H50" s="339"/>
      <c r="I50" s="340"/>
      <c r="J50" s="341"/>
      <c r="K50" s="260"/>
      <c r="L50" s="260"/>
      <c r="M50" s="261"/>
      <c r="N50" s="7"/>
      <c r="O50" s="7"/>
      <c r="P50" s="92"/>
      <c r="Q50" s="342"/>
      <c r="R50" s="647" t="s">
        <v>161</v>
      </c>
      <c r="S50" s="76" t="s">
        <v>113</v>
      </c>
      <c r="T50" s="635" t="s">
        <v>178</v>
      </c>
      <c r="U50" s="76" t="s">
        <v>3</v>
      </c>
      <c r="V50" s="364" t="s">
        <v>11</v>
      </c>
      <c r="W50" s="10">
        <f>Y50+Z50+AA50</f>
        <v>2993.9</v>
      </c>
      <c r="X50" s="126" t="s">
        <v>95</v>
      </c>
      <c r="Y50" s="365">
        <v>904.5</v>
      </c>
      <c r="Z50" s="10">
        <v>994.95</v>
      </c>
      <c r="AA50" s="366">
        <v>1094.45</v>
      </c>
    </row>
    <row r="51" spans="1:28" ht="44.25" customHeight="1" x14ac:dyDescent="0.25">
      <c r="A51" s="62"/>
      <c r="B51" s="63"/>
      <c r="C51" s="253"/>
      <c r="D51" s="13"/>
      <c r="E51" s="337"/>
      <c r="F51" s="255"/>
      <c r="G51" s="338"/>
      <c r="H51" s="339"/>
      <c r="I51" s="340"/>
      <c r="J51" s="341"/>
      <c r="K51" s="260"/>
      <c r="L51" s="260"/>
      <c r="M51" s="261"/>
      <c r="N51" s="7"/>
      <c r="O51" s="7"/>
      <c r="P51" s="92"/>
      <c r="Q51" s="342"/>
      <c r="R51" s="648"/>
      <c r="S51" s="96"/>
      <c r="T51" s="636"/>
      <c r="U51" s="96"/>
      <c r="V51" s="367">
        <v>2026</v>
      </c>
      <c r="W51" s="350">
        <f>Y50</f>
        <v>904.5</v>
      </c>
      <c r="X51" s="351" t="s">
        <v>130</v>
      </c>
      <c r="Y51" s="352">
        <v>8296</v>
      </c>
      <c r="Z51" s="172">
        <v>8319</v>
      </c>
      <c r="AA51" s="353">
        <v>8342</v>
      </c>
    </row>
    <row r="52" spans="1:28" ht="31.5" customHeight="1" thickBot="1" x14ac:dyDescent="0.3">
      <c r="A52" s="62"/>
      <c r="B52" s="63"/>
      <c r="C52" s="253"/>
      <c r="D52" s="13"/>
      <c r="E52" s="337"/>
      <c r="F52" s="255"/>
      <c r="G52" s="338"/>
      <c r="H52" s="339"/>
      <c r="I52" s="340"/>
      <c r="J52" s="341"/>
      <c r="K52" s="260"/>
      <c r="L52" s="260"/>
      <c r="M52" s="261"/>
      <c r="N52" s="7"/>
      <c r="O52" s="7"/>
      <c r="P52" s="92"/>
      <c r="Q52" s="342"/>
      <c r="R52" s="648"/>
      <c r="S52" s="96"/>
      <c r="T52" s="636"/>
      <c r="U52" s="96"/>
      <c r="V52" s="315">
        <v>2027</v>
      </c>
      <c r="W52" s="309">
        <f>Z50</f>
        <v>994.95</v>
      </c>
      <c r="X52" s="360" t="s">
        <v>65</v>
      </c>
      <c r="Y52" s="281">
        <f>Y50/Y51*1000</f>
        <v>109.02844744455159</v>
      </c>
      <c r="Z52" s="368">
        <f>Z50/Z51*1000</f>
        <v>119.59971150378652</v>
      </c>
      <c r="AA52" s="369">
        <f>AA50/AA51*1000</f>
        <v>131.197554543275</v>
      </c>
    </row>
    <row r="53" spans="1:28" ht="49.5" customHeight="1" thickBot="1" x14ac:dyDescent="0.3">
      <c r="A53" s="62"/>
      <c r="B53" s="63"/>
      <c r="C53" s="253"/>
      <c r="D53" s="13"/>
      <c r="E53" s="337"/>
      <c r="F53" s="255"/>
      <c r="G53" s="338"/>
      <c r="H53" s="339"/>
      <c r="I53" s="340"/>
      <c r="J53" s="341"/>
      <c r="K53" s="260"/>
      <c r="L53" s="260"/>
      <c r="M53" s="261"/>
      <c r="N53" s="7"/>
      <c r="O53" s="7"/>
      <c r="P53" s="92"/>
      <c r="Q53" s="342"/>
      <c r="R53" s="649"/>
      <c r="S53" s="96"/>
      <c r="T53" s="636"/>
      <c r="U53" s="117"/>
      <c r="V53" s="370">
        <v>2028</v>
      </c>
      <c r="W53" s="371">
        <f>AA50</f>
        <v>1094.45</v>
      </c>
      <c r="X53" s="372" t="s">
        <v>152</v>
      </c>
      <c r="Y53" s="373">
        <v>1</v>
      </c>
      <c r="Z53" s="374">
        <v>1</v>
      </c>
      <c r="AA53" s="375">
        <v>1</v>
      </c>
    </row>
    <row r="54" spans="1:28" ht="24" customHeight="1" thickBot="1" x14ac:dyDescent="0.3">
      <c r="A54" s="62"/>
      <c r="B54" s="63"/>
      <c r="C54" s="253"/>
      <c r="D54" s="13"/>
      <c r="E54" s="337"/>
      <c r="F54" s="255"/>
      <c r="G54" s="338"/>
      <c r="H54" s="339"/>
      <c r="I54" s="340"/>
      <c r="J54" s="341"/>
      <c r="K54" s="260"/>
      <c r="L54" s="260"/>
      <c r="M54" s="261"/>
      <c r="N54" s="7"/>
      <c r="O54" s="7"/>
      <c r="P54" s="92"/>
      <c r="Q54" s="144"/>
      <c r="R54" s="641" t="s">
        <v>162</v>
      </c>
      <c r="S54" s="645" t="s">
        <v>113</v>
      </c>
      <c r="T54" s="643" t="s">
        <v>178</v>
      </c>
      <c r="U54" s="643" t="s">
        <v>3</v>
      </c>
      <c r="V54" s="376" t="s">
        <v>11</v>
      </c>
      <c r="W54" s="10">
        <f>Y54+Z54+AA54</f>
        <v>29158.385999999999</v>
      </c>
      <c r="X54" s="377" t="s">
        <v>95</v>
      </c>
      <c r="Y54" s="378">
        <v>8809.18</v>
      </c>
      <c r="Z54" s="379">
        <v>9690.098</v>
      </c>
      <c r="AA54" s="380">
        <v>10659.108</v>
      </c>
    </row>
    <row r="55" spans="1:28" ht="34.5" customHeight="1" thickBot="1" x14ac:dyDescent="0.3">
      <c r="A55" s="62"/>
      <c r="B55" s="63"/>
      <c r="C55" s="253"/>
      <c r="D55" s="13"/>
      <c r="E55" s="337"/>
      <c r="F55" s="255"/>
      <c r="G55" s="338"/>
      <c r="H55" s="339"/>
      <c r="I55" s="340"/>
      <c r="J55" s="341"/>
      <c r="K55" s="260"/>
      <c r="L55" s="260"/>
      <c r="M55" s="261"/>
      <c r="N55" s="7"/>
      <c r="O55" s="7"/>
      <c r="P55" s="92"/>
      <c r="Q55" s="144"/>
      <c r="R55" s="641"/>
      <c r="S55" s="646"/>
      <c r="T55" s="63"/>
      <c r="U55" s="63"/>
      <c r="V55" s="349">
        <v>2026</v>
      </c>
      <c r="W55" s="382">
        <f>Y54</f>
        <v>8809.18</v>
      </c>
      <c r="X55" s="383" t="s">
        <v>73</v>
      </c>
      <c r="Y55" s="235">
        <v>18840</v>
      </c>
      <c r="Z55" s="384">
        <v>19336</v>
      </c>
      <c r="AA55" s="385">
        <v>19832</v>
      </c>
    </row>
    <row r="56" spans="1:28" ht="30.75" customHeight="1" thickBot="1" x14ac:dyDescent="0.3">
      <c r="A56" s="62"/>
      <c r="B56" s="63"/>
      <c r="C56" s="253"/>
      <c r="D56" s="13"/>
      <c r="E56" s="337"/>
      <c r="F56" s="255"/>
      <c r="G56" s="338"/>
      <c r="H56" s="339"/>
      <c r="I56" s="340"/>
      <c r="J56" s="341"/>
      <c r="K56" s="260"/>
      <c r="L56" s="260"/>
      <c r="M56" s="261"/>
      <c r="N56" s="7"/>
      <c r="O56" s="7"/>
      <c r="P56" s="92"/>
      <c r="Q56" s="144"/>
      <c r="R56" s="641"/>
      <c r="S56" s="646"/>
      <c r="T56" s="63"/>
      <c r="U56" s="63"/>
      <c r="V56" s="255">
        <v>2027</v>
      </c>
      <c r="W56" s="382">
        <f>Z54</f>
        <v>9690.098</v>
      </c>
      <c r="X56" s="386" t="s">
        <v>25</v>
      </c>
      <c r="Y56" s="387">
        <v>1500</v>
      </c>
      <c r="Z56" s="388">
        <v>1516</v>
      </c>
      <c r="AA56" s="389">
        <v>1530</v>
      </c>
    </row>
    <row r="57" spans="1:28" ht="47.25" customHeight="1" thickBot="1" x14ac:dyDescent="0.3">
      <c r="A57" s="62"/>
      <c r="B57" s="63"/>
      <c r="C57" s="253"/>
      <c r="D57" s="13"/>
      <c r="E57" s="337"/>
      <c r="F57" s="255"/>
      <c r="G57" s="338"/>
      <c r="H57" s="339"/>
      <c r="I57" s="340"/>
      <c r="J57" s="341"/>
      <c r="K57" s="260"/>
      <c r="L57" s="260"/>
      <c r="M57" s="261"/>
      <c r="N57" s="7"/>
      <c r="O57" s="7"/>
      <c r="P57" s="92"/>
      <c r="Q57" s="144"/>
      <c r="R57" s="641"/>
      <c r="S57" s="646"/>
      <c r="T57" s="63"/>
      <c r="U57" s="63"/>
      <c r="V57" s="358">
        <v>2028</v>
      </c>
      <c r="W57" s="382">
        <f>AA54</f>
        <v>10659.108</v>
      </c>
      <c r="X57" s="390" t="s">
        <v>158</v>
      </c>
      <c r="Y57" s="317">
        <f>Y54/Y55*1000</f>
        <v>467.57855626326966</v>
      </c>
      <c r="Z57" s="318">
        <f>Z54/Z55*1000</f>
        <v>501.14284236657016</v>
      </c>
      <c r="AA57" s="391">
        <f>AA54/AA55*1000</f>
        <v>537.47014925373139</v>
      </c>
    </row>
    <row r="58" spans="1:28" ht="48" customHeight="1" thickBot="1" x14ac:dyDescent="0.3">
      <c r="A58" s="62"/>
      <c r="B58" s="63"/>
      <c r="C58" s="253"/>
      <c r="D58" s="13"/>
      <c r="E58" s="337"/>
      <c r="F58" s="255"/>
      <c r="G58" s="338"/>
      <c r="H58" s="339"/>
      <c r="I58" s="340"/>
      <c r="J58" s="341"/>
      <c r="K58" s="260"/>
      <c r="L58" s="260"/>
      <c r="M58" s="261"/>
      <c r="N58" s="7"/>
      <c r="O58" s="7"/>
      <c r="P58" s="92"/>
      <c r="Q58" s="392"/>
      <c r="R58" s="642"/>
      <c r="S58" s="393"/>
      <c r="T58" s="644"/>
      <c r="U58" s="644"/>
      <c r="V58" s="394"/>
      <c r="W58" s="395"/>
      <c r="X58" s="390" t="s">
        <v>121</v>
      </c>
      <c r="Y58" s="396">
        <v>1</v>
      </c>
      <c r="Z58" s="397">
        <v>1</v>
      </c>
      <c r="AA58" s="398">
        <v>1</v>
      </c>
    </row>
    <row r="59" spans="1:28" s="2" customFormat="1" ht="28.5" customHeight="1" thickBot="1" x14ac:dyDescent="0.3">
      <c r="A59" s="62"/>
      <c r="B59" s="63"/>
      <c r="C59" s="64" t="s">
        <v>43</v>
      </c>
      <c r="D59" s="76" t="s">
        <v>27</v>
      </c>
      <c r="E59" s="65" t="s">
        <v>23</v>
      </c>
      <c r="F59" s="76" t="s">
        <v>3</v>
      </c>
      <c r="G59" s="349" t="s">
        <v>11</v>
      </c>
      <c r="H59" s="399" t="e">
        <f>H60+H61+H62+#REF!</f>
        <v>#REF!</v>
      </c>
      <c r="I59" s="201" t="s">
        <v>95</v>
      </c>
      <c r="J59" s="400">
        <v>3570</v>
      </c>
      <c r="K59" s="401">
        <v>3759.2099999999996</v>
      </c>
      <c r="L59" s="401">
        <v>3947.17</v>
      </c>
      <c r="M59" s="206">
        <v>4144.5</v>
      </c>
      <c r="N59" s="7"/>
      <c r="O59" s="7"/>
      <c r="P59" s="92"/>
      <c r="Q59" s="402" t="s">
        <v>125</v>
      </c>
      <c r="R59" s="403" t="s">
        <v>122</v>
      </c>
      <c r="S59" s="76" t="s">
        <v>113</v>
      </c>
      <c r="T59" s="65" t="s">
        <v>178</v>
      </c>
      <c r="U59" s="76" t="s">
        <v>3</v>
      </c>
      <c r="V59" s="124" t="s">
        <v>11</v>
      </c>
      <c r="W59" s="365">
        <f>Y59+Z59+AA59</f>
        <v>14632.880000000001</v>
      </c>
      <c r="X59" s="126" t="s">
        <v>95</v>
      </c>
      <c r="Y59" s="365">
        <v>4420.8100000000004</v>
      </c>
      <c r="Z59" s="164">
        <v>4862.8900000000003</v>
      </c>
      <c r="AA59" s="404">
        <v>5349.18</v>
      </c>
      <c r="AB59" s="4" t="e">
        <f>Y59+Z59+AA59+#REF!-W59</f>
        <v>#REF!</v>
      </c>
    </row>
    <row r="60" spans="1:28" s="2" customFormat="1" ht="39.75" customHeight="1" x14ac:dyDescent="0.25">
      <c r="A60" s="62"/>
      <c r="B60" s="63"/>
      <c r="C60" s="83"/>
      <c r="D60" s="96"/>
      <c r="E60" s="84"/>
      <c r="F60" s="96"/>
      <c r="G60" s="315" t="s">
        <v>12</v>
      </c>
      <c r="H60" s="316">
        <f>J59</f>
        <v>3570</v>
      </c>
      <c r="I60" s="190" t="s">
        <v>82</v>
      </c>
      <c r="J60" s="405">
        <v>85000</v>
      </c>
      <c r="K60" s="167">
        <v>85000</v>
      </c>
      <c r="L60" s="167">
        <v>85000</v>
      </c>
      <c r="M60" s="91">
        <v>85000</v>
      </c>
      <c r="N60" s="7"/>
      <c r="O60" s="7"/>
      <c r="P60" s="92"/>
      <c r="Q60" s="402"/>
      <c r="R60" s="406"/>
      <c r="S60" s="96"/>
      <c r="T60" s="84"/>
      <c r="U60" s="96"/>
      <c r="V60" s="407">
        <v>2026</v>
      </c>
      <c r="W60" s="408">
        <f>Y59</f>
        <v>4420.8100000000004</v>
      </c>
      <c r="X60" s="351" t="s">
        <v>82</v>
      </c>
      <c r="Y60" s="352">
        <v>156500</v>
      </c>
      <c r="Z60" s="172">
        <v>157000</v>
      </c>
      <c r="AA60" s="353">
        <v>157500</v>
      </c>
    </row>
    <row r="61" spans="1:28" s="2" customFormat="1" ht="39.75" customHeight="1" thickBot="1" x14ac:dyDescent="0.3">
      <c r="A61" s="62"/>
      <c r="B61" s="63"/>
      <c r="C61" s="83"/>
      <c r="D61" s="96"/>
      <c r="E61" s="84"/>
      <c r="F61" s="96"/>
      <c r="G61" s="315" t="s">
        <v>17</v>
      </c>
      <c r="H61" s="316">
        <f>K59</f>
        <v>3759.2099999999996</v>
      </c>
      <c r="I61" s="360" t="s">
        <v>64</v>
      </c>
      <c r="J61" s="409">
        <f>J59/J60*1000</f>
        <v>42</v>
      </c>
      <c r="K61" s="142">
        <f>K59/K60*1000</f>
        <v>44.225999999999992</v>
      </c>
      <c r="L61" s="142">
        <f>L59/L60*1000</f>
        <v>46.437294117647063</v>
      </c>
      <c r="M61" s="143">
        <f>M59/M60*1000</f>
        <v>48.758823529411764</v>
      </c>
      <c r="N61" s="7"/>
      <c r="O61" s="7"/>
      <c r="P61" s="92"/>
      <c r="Q61" s="402"/>
      <c r="R61" s="406"/>
      <c r="S61" s="96"/>
      <c r="T61" s="84"/>
      <c r="U61" s="96"/>
      <c r="V61" s="102">
        <v>2027</v>
      </c>
      <c r="W61" s="316">
        <f>Z59</f>
        <v>4862.8900000000003</v>
      </c>
      <c r="X61" s="360" t="s">
        <v>64</v>
      </c>
      <c r="Y61" s="312">
        <f>Y59/Y60*1000</f>
        <v>28.247987220447289</v>
      </c>
      <c r="Z61" s="142">
        <f>Z59/Z60*1000</f>
        <v>30.973821656050958</v>
      </c>
      <c r="AA61" s="410">
        <f>AA59/AA60*1000</f>
        <v>33.963047619047622</v>
      </c>
    </row>
    <row r="62" spans="1:28" s="2" customFormat="1" ht="39.75" customHeight="1" thickBot="1" x14ac:dyDescent="0.3">
      <c r="A62" s="62"/>
      <c r="B62" s="63"/>
      <c r="C62" s="83"/>
      <c r="D62" s="96"/>
      <c r="E62" s="84"/>
      <c r="F62" s="96"/>
      <c r="G62" s="411" t="s">
        <v>18</v>
      </c>
      <c r="H62" s="316">
        <f>L59</f>
        <v>3947.17</v>
      </c>
      <c r="I62" s="360" t="s">
        <v>34</v>
      </c>
      <c r="J62" s="412">
        <v>1.6E-2</v>
      </c>
      <c r="K62" s="413">
        <v>1.6E-2</v>
      </c>
      <c r="L62" s="413">
        <v>1.6E-2</v>
      </c>
      <c r="M62" s="414">
        <v>1.6E-2</v>
      </c>
      <c r="N62" s="7"/>
      <c r="O62" s="7"/>
      <c r="P62" s="92"/>
      <c r="Q62" s="402"/>
      <c r="R62" s="415"/>
      <c r="S62" s="96"/>
      <c r="T62" s="356"/>
      <c r="U62" s="96"/>
      <c r="V62" s="416">
        <v>2028</v>
      </c>
      <c r="W62" s="316">
        <f>AA59</f>
        <v>5349.18</v>
      </c>
      <c r="X62" s="417" t="s">
        <v>137</v>
      </c>
      <c r="Y62" s="418">
        <v>1.2999999999999999E-2</v>
      </c>
      <c r="Z62" s="374">
        <v>1.2999999999999999E-2</v>
      </c>
      <c r="AA62" s="419">
        <v>1.2999999999999999E-2</v>
      </c>
    </row>
    <row r="63" spans="1:28" s="3" customFormat="1" ht="24.75" customHeight="1" thickBot="1" x14ac:dyDescent="0.3">
      <c r="A63" s="62"/>
      <c r="B63" s="63"/>
      <c r="C63" s="420" t="s">
        <v>44</v>
      </c>
      <c r="D63" s="76" t="s">
        <v>27</v>
      </c>
      <c r="E63" s="421" t="s">
        <v>23</v>
      </c>
      <c r="F63" s="66" t="s">
        <v>3</v>
      </c>
      <c r="G63" s="376" t="s">
        <v>11</v>
      </c>
      <c r="H63" s="307" t="e">
        <f>H64+H65+H66+#REF!</f>
        <v>#REF!</v>
      </c>
      <c r="I63" s="201" t="s">
        <v>95</v>
      </c>
      <c r="J63" s="123">
        <v>3825</v>
      </c>
      <c r="K63" s="308">
        <v>4027.7</v>
      </c>
      <c r="L63" s="308">
        <v>4229.1000000000004</v>
      </c>
      <c r="M63" s="68">
        <v>4440.6000000000004</v>
      </c>
      <c r="N63" s="7"/>
      <c r="O63" s="7"/>
      <c r="P63" s="92"/>
      <c r="Q63" s="402"/>
      <c r="R63" s="422" t="s">
        <v>123</v>
      </c>
      <c r="S63" s="76" t="s">
        <v>113</v>
      </c>
      <c r="T63" s="76" t="s">
        <v>178</v>
      </c>
      <c r="U63" s="66" t="s">
        <v>3</v>
      </c>
      <c r="V63" s="198" t="s">
        <v>11</v>
      </c>
      <c r="W63" s="10">
        <f>Y63+Z63+AA63</f>
        <v>19806.05</v>
      </c>
      <c r="X63" s="126" t="s">
        <v>95</v>
      </c>
      <c r="Y63" s="423">
        <v>5983.7</v>
      </c>
      <c r="Z63" s="346">
        <v>6582.07</v>
      </c>
      <c r="AA63" s="424">
        <v>7240.28</v>
      </c>
      <c r="AB63" s="4" t="e">
        <f>Y63+Z63+AA63+#REF!-W63</f>
        <v>#REF!</v>
      </c>
    </row>
    <row r="64" spans="1:28" s="3" customFormat="1" ht="47.25" customHeight="1" x14ac:dyDescent="0.25">
      <c r="A64" s="62"/>
      <c r="B64" s="63"/>
      <c r="C64" s="83"/>
      <c r="D64" s="96"/>
      <c r="E64" s="84"/>
      <c r="F64" s="85"/>
      <c r="G64" s="425" t="s">
        <v>12</v>
      </c>
      <c r="H64" s="309">
        <f>J63</f>
        <v>3825</v>
      </c>
      <c r="I64" s="190" t="s">
        <v>81</v>
      </c>
      <c r="J64" s="166">
        <v>85000</v>
      </c>
      <c r="K64" s="167">
        <v>85000</v>
      </c>
      <c r="L64" s="167">
        <v>85000</v>
      </c>
      <c r="M64" s="91">
        <v>85000</v>
      </c>
      <c r="N64" s="7"/>
      <c r="O64" s="7"/>
      <c r="P64" s="92"/>
      <c r="Q64" s="402"/>
      <c r="R64" s="292"/>
      <c r="S64" s="96"/>
      <c r="T64" s="96"/>
      <c r="U64" s="85"/>
      <c r="V64" s="426">
        <v>2026</v>
      </c>
      <c r="W64" s="136">
        <f>Y63</f>
        <v>5983.7</v>
      </c>
      <c r="X64" s="351" t="s">
        <v>81</v>
      </c>
      <c r="Y64" s="171">
        <v>176500</v>
      </c>
      <c r="Z64" s="172">
        <v>177000</v>
      </c>
      <c r="AA64" s="427">
        <v>177500</v>
      </c>
    </row>
    <row r="65" spans="1:28" s="3" customFormat="1" ht="39.75" customHeight="1" x14ac:dyDescent="0.25">
      <c r="A65" s="62"/>
      <c r="B65" s="63"/>
      <c r="C65" s="83"/>
      <c r="D65" s="96"/>
      <c r="E65" s="84"/>
      <c r="F65" s="85"/>
      <c r="G65" s="425" t="s">
        <v>17</v>
      </c>
      <c r="H65" s="309">
        <f>K63</f>
        <v>4027.7</v>
      </c>
      <c r="I65" s="360" t="s">
        <v>64</v>
      </c>
      <c r="J65" s="428">
        <f>J63/J64*1000</f>
        <v>45</v>
      </c>
      <c r="K65" s="368">
        <f>K63/K64*1000</f>
        <v>47.384705882352939</v>
      </c>
      <c r="L65" s="368">
        <f>L63/L64*1000</f>
        <v>49.754117647058834</v>
      </c>
      <c r="M65" s="429">
        <f>M63/M64*1000</f>
        <v>52.242352941176478</v>
      </c>
      <c r="N65" s="7"/>
      <c r="O65" s="7"/>
      <c r="P65" s="92"/>
      <c r="Q65" s="402"/>
      <c r="R65" s="292"/>
      <c r="S65" s="96"/>
      <c r="T65" s="96"/>
      <c r="U65" s="85"/>
      <c r="V65" s="86">
        <v>2027</v>
      </c>
      <c r="W65" s="130">
        <f>Z63</f>
        <v>6582.07</v>
      </c>
      <c r="X65" s="360" t="s">
        <v>64</v>
      </c>
      <c r="Y65" s="428">
        <f>Y63/Y64*1000</f>
        <v>33.901983002832864</v>
      </c>
      <c r="Z65" s="282">
        <f>Z63/Z64*1000</f>
        <v>37.186836158192087</v>
      </c>
      <c r="AA65" s="430">
        <f>AA63/AA64*1000</f>
        <v>40.790309859154931</v>
      </c>
    </row>
    <row r="66" spans="1:28" s="3" customFormat="1" ht="43.5" customHeight="1" thickBot="1" x14ac:dyDescent="0.3">
      <c r="A66" s="62"/>
      <c r="B66" s="63"/>
      <c r="C66" s="83"/>
      <c r="D66" s="96"/>
      <c r="E66" s="84"/>
      <c r="F66" s="85"/>
      <c r="G66" s="431" t="s">
        <v>18</v>
      </c>
      <c r="H66" s="309">
        <f>L63</f>
        <v>4229.1000000000004</v>
      </c>
      <c r="I66" s="360" t="s">
        <v>32</v>
      </c>
      <c r="J66" s="432">
        <v>5.3999999999999999E-2</v>
      </c>
      <c r="K66" s="413">
        <v>5.3999999999999999E-2</v>
      </c>
      <c r="L66" s="413">
        <v>5.3999999999999999E-2</v>
      </c>
      <c r="M66" s="414">
        <v>5.3999999999999999E-2</v>
      </c>
      <c r="N66" s="7"/>
      <c r="O66" s="7"/>
      <c r="P66" s="92"/>
      <c r="Q66" s="402"/>
      <c r="R66" s="292"/>
      <c r="S66" s="96"/>
      <c r="T66" s="117"/>
      <c r="U66" s="85"/>
      <c r="V66" s="433">
        <v>2028</v>
      </c>
      <c r="W66" s="434">
        <f>AA63</f>
        <v>7240.28</v>
      </c>
      <c r="X66" s="435" t="s">
        <v>133</v>
      </c>
      <c r="Y66" s="436">
        <v>4.7E-2</v>
      </c>
      <c r="Z66" s="437">
        <v>4.7E-2</v>
      </c>
      <c r="AA66" s="419">
        <v>4.7E-2</v>
      </c>
    </row>
    <row r="67" spans="1:28" ht="31.5" customHeight="1" thickBot="1" x14ac:dyDescent="0.3">
      <c r="A67" s="62"/>
      <c r="B67" s="63"/>
      <c r="C67" s="121" t="s">
        <v>35</v>
      </c>
      <c r="D67" s="29" t="s">
        <v>27</v>
      </c>
      <c r="E67" s="161" t="s">
        <v>23</v>
      </c>
      <c r="F67" s="438" t="s">
        <v>3</v>
      </c>
      <c r="G67" s="439" t="s">
        <v>2</v>
      </c>
      <c r="H67" s="440">
        <f>H68+H69+H70+H71</f>
        <v>47703.31</v>
      </c>
      <c r="I67" s="201" t="s">
        <v>95</v>
      </c>
      <c r="J67" s="123">
        <v>11043.5</v>
      </c>
      <c r="K67" s="308">
        <v>11628.8</v>
      </c>
      <c r="L67" s="308">
        <v>12210.2</v>
      </c>
      <c r="M67" s="136">
        <v>12820.81</v>
      </c>
      <c r="N67" s="7"/>
      <c r="O67" s="7"/>
      <c r="P67" s="92"/>
      <c r="Q67" s="402"/>
      <c r="R67" s="441" t="s">
        <v>153</v>
      </c>
      <c r="S67" s="29" t="s">
        <v>113</v>
      </c>
      <c r="T67" s="161" t="s">
        <v>179</v>
      </c>
      <c r="U67" s="438" t="s">
        <v>3</v>
      </c>
      <c r="V67" s="124" t="s">
        <v>2</v>
      </c>
      <c r="W67" s="442">
        <f>W68+W69+W70+W71</f>
        <v>10643.033470400002</v>
      </c>
      <c r="X67" s="443" t="s">
        <v>95</v>
      </c>
      <c r="Y67" s="444">
        <v>3278.4110000000001</v>
      </c>
      <c r="Z67" s="445">
        <f>Y67*1.08</f>
        <v>3540.6838800000005</v>
      </c>
      <c r="AA67" s="446">
        <f>Z67*1.08</f>
        <v>3823.938590400001</v>
      </c>
      <c r="AB67" s="4" t="e">
        <f>Y67+Z67+AA67+#REF!-W67</f>
        <v>#REF!</v>
      </c>
    </row>
    <row r="68" spans="1:28" ht="55.5" customHeight="1" x14ac:dyDescent="0.25">
      <c r="A68" s="62"/>
      <c r="B68" s="63"/>
      <c r="C68" s="128"/>
      <c r="D68" s="447"/>
      <c r="E68" s="448"/>
      <c r="F68" s="447"/>
      <c r="G68" s="425">
        <v>2022</v>
      </c>
      <c r="H68" s="280">
        <f>J67</f>
        <v>11043.5</v>
      </c>
      <c r="I68" s="305" t="s">
        <v>28</v>
      </c>
      <c r="J68" s="131">
        <v>3898</v>
      </c>
      <c r="K68" s="132">
        <v>3898</v>
      </c>
      <c r="L68" s="132">
        <v>3898</v>
      </c>
      <c r="M68" s="133">
        <v>3898</v>
      </c>
      <c r="N68" s="7"/>
      <c r="O68" s="7"/>
      <c r="P68" s="92"/>
      <c r="Q68" s="402"/>
      <c r="R68" s="449"/>
      <c r="S68" s="447"/>
      <c r="T68" s="450"/>
      <c r="U68" s="447"/>
      <c r="V68" s="255">
        <v>2026</v>
      </c>
      <c r="W68" s="451">
        <f>Y67</f>
        <v>3278.4110000000001</v>
      </c>
      <c r="X68" s="296" t="s">
        <v>28</v>
      </c>
      <c r="Y68" s="452">
        <v>1500</v>
      </c>
      <c r="Z68" s="453">
        <v>1750</v>
      </c>
      <c r="AA68" s="454">
        <v>1900</v>
      </c>
    </row>
    <row r="69" spans="1:28" ht="39.75" customHeight="1" x14ac:dyDescent="0.25">
      <c r="A69" s="62"/>
      <c r="B69" s="63"/>
      <c r="C69" s="128"/>
      <c r="D69" s="447"/>
      <c r="E69" s="448"/>
      <c r="F69" s="447"/>
      <c r="G69" s="425">
        <v>2023</v>
      </c>
      <c r="H69" s="280">
        <f>K67</f>
        <v>11628.8</v>
      </c>
      <c r="I69" s="305" t="s">
        <v>97</v>
      </c>
      <c r="J69" s="238">
        <f>J67/J68*1000</f>
        <v>2833.1195484864033</v>
      </c>
      <c r="K69" s="239">
        <f>K67/K68*1000</f>
        <v>2983.2734735761924</v>
      </c>
      <c r="L69" s="239">
        <f>L67/L68*1000</f>
        <v>3132.4268855823502</v>
      </c>
      <c r="M69" s="240">
        <f>M67/M68*1000</f>
        <v>3289.073884043099</v>
      </c>
      <c r="N69" s="8"/>
      <c r="O69" s="8"/>
      <c r="P69" s="92"/>
      <c r="Q69" s="402"/>
      <c r="R69" s="449"/>
      <c r="S69" s="447"/>
      <c r="T69" s="450"/>
      <c r="U69" s="447"/>
      <c r="V69" s="315">
        <v>2027</v>
      </c>
      <c r="W69" s="280">
        <f>Z67</f>
        <v>3540.6838800000005</v>
      </c>
      <c r="X69" s="305" t="s">
        <v>132</v>
      </c>
      <c r="Y69" s="238">
        <f>Y67/Y68*1000</f>
        <v>2185.6073333333334</v>
      </c>
      <c r="Z69" s="455">
        <f>Z67/Z68*1000</f>
        <v>2023.2479314285715</v>
      </c>
      <c r="AA69" s="456">
        <f>AA67/AA68*1000</f>
        <v>2012.5992581052637</v>
      </c>
    </row>
    <row r="70" spans="1:28" ht="18.75" customHeight="1" thickBot="1" x14ac:dyDescent="0.3">
      <c r="A70" s="62"/>
      <c r="B70" s="63"/>
      <c r="C70" s="128"/>
      <c r="D70" s="447"/>
      <c r="E70" s="448"/>
      <c r="F70" s="447"/>
      <c r="G70" s="425">
        <v>2024</v>
      </c>
      <c r="H70" s="280">
        <f>L67</f>
        <v>12210.2</v>
      </c>
      <c r="I70" s="457" t="s">
        <v>29</v>
      </c>
      <c r="J70" s="458">
        <v>0</v>
      </c>
      <c r="K70" s="459">
        <v>0</v>
      </c>
      <c r="L70" s="459">
        <v>0</v>
      </c>
      <c r="M70" s="460">
        <v>0</v>
      </c>
      <c r="N70" s="7"/>
      <c r="O70" s="7"/>
      <c r="P70" s="92"/>
      <c r="Q70" s="402"/>
      <c r="R70" s="449"/>
      <c r="S70" s="447"/>
      <c r="T70" s="450"/>
      <c r="U70" s="447"/>
      <c r="V70" s="461">
        <v>2028</v>
      </c>
      <c r="W70" s="462">
        <f>AA67</f>
        <v>3823.938590400001</v>
      </c>
      <c r="X70" s="457" t="s">
        <v>29</v>
      </c>
      <c r="Y70" s="463">
        <v>0</v>
      </c>
      <c r="Z70" s="464">
        <v>0</v>
      </c>
      <c r="AA70" s="465">
        <v>0</v>
      </c>
    </row>
    <row r="71" spans="1:28" ht="30.75" customHeight="1" thickBot="1" x14ac:dyDescent="0.3">
      <c r="A71" s="62"/>
      <c r="B71" s="63"/>
      <c r="C71" s="151"/>
      <c r="D71" s="466"/>
      <c r="E71" s="467"/>
      <c r="F71" s="466"/>
      <c r="G71" s="468">
        <v>2025</v>
      </c>
      <c r="H71" s="299">
        <f>M67</f>
        <v>12820.81</v>
      </c>
      <c r="I71" s="469"/>
      <c r="J71" s="470"/>
      <c r="K71" s="471"/>
      <c r="L71" s="471"/>
      <c r="M71" s="472"/>
      <c r="N71" s="7"/>
      <c r="O71" s="7"/>
      <c r="P71" s="92"/>
      <c r="Q71" s="402"/>
      <c r="R71" s="473"/>
      <c r="S71" s="466"/>
      <c r="T71" s="467"/>
      <c r="U71" s="466"/>
      <c r="V71" s="474"/>
      <c r="W71" s="475"/>
      <c r="X71" s="469"/>
      <c r="Y71" s="476"/>
      <c r="Z71" s="477"/>
      <c r="AA71" s="478"/>
    </row>
    <row r="72" spans="1:28" ht="30.75" customHeight="1" thickBot="1" x14ac:dyDescent="0.3">
      <c r="A72" s="62"/>
      <c r="B72" s="63"/>
      <c r="C72" s="64" t="s">
        <v>36</v>
      </c>
      <c r="D72" s="76" t="s">
        <v>27</v>
      </c>
      <c r="E72" s="65" t="s">
        <v>31</v>
      </c>
      <c r="F72" s="76" t="s">
        <v>3</v>
      </c>
      <c r="G72" s="271" t="s">
        <v>11</v>
      </c>
      <c r="H72" s="307">
        <f>H73+H74+H75+H76</f>
        <v>115305.68</v>
      </c>
      <c r="I72" s="201" t="s">
        <v>95</v>
      </c>
      <c r="J72" s="479">
        <v>22706.17</v>
      </c>
      <c r="K72" s="308">
        <v>26394.5</v>
      </c>
      <c r="L72" s="308">
        <v>30692.240000000002</v>
      </c>
      <c r="M72" s="136">
        <v>35512.769999999997</v>
      </c>
      <c r="N72" s="7"/>
      <c r="O72" s="7"/>
      <c r="P72" s="92"/>
      <c r="Q72" s="402"/>
      <c r="R72" s="480" t="s">
        <v>154</v>
      </c>
      <c r="S72" s="161" t="s">
        <v>113</v>
      </c>
      <c r="T72" s="643" t="s">
        <v>180</v>
      </c>
      <c r="U72" s="161" t="s">
        <v>3</v>
      </c>
      <c r="V72" s="124" t="s">
        <v>11</v>
      </c>
      <c r="W72" s="10">
        <f>W73+W74+W75+W76</f>
        <v>362074.30399999995</v>
      </c>
      <c r="X72" s="126" t="s">
        <v>95</v>
      </c>
      <c r="Y72" s="365">
        <f>2553.65+13927.3+31011.5+123.025+4085.3+2850+13063.6+3240.6+1534.4+950+6947.1+7838.3+4001.78+5059.4+4828.1+2870.82+2321.2+1206.98+2321.2+3870+2321.2+610.7+1950.06+1392.6</f>
        <v>120878.815</v>
      </c>
      <c r="Z72" s="10">
        <f>2553.65+13927.3+32868.2+130.425+4289.6+2992.5+6797.6+3567.9+1534.4+950+6825.15+8695.4+4001.78+5054.4+4828.1+2870.82+2321.2+1508.74+2228.4+4270+2321.2+646.7+1974+1705.9</f>
        <v>118863.36499999996</v>
      </c>
      <c r="AA72" s="404">
        <f>2553.65+13927.3+34725.2+138.275+4411.9+3142.13+7025.3+3942.529+1534.4+950+6235.7+9600.2+4001.78+5091.1+4828.1+2870.82+2321.2+1508.74+2135.5+4530+2321.2+679+2016+1842.1</f>
        <v>122332.124</v>
      </c>
      <c r="AB72" s="4" t="e">
        <f>Y72+Z72+AA72+#REF!-W72</f>
        <v>#REF!</v>
      </c>
    </row>
    <row r="73" spans="1:28" ht="45.75" customHeight="1" x14ac:dyDescent="0.25">
      <c r="A73" s="62"/>
      <c r="B73" s="63"/>
      <c r="C73" s="83"/>
      <c r="D73" s="96"/>
      <c r="E73" s="84"/>
      <c r="F73" s="96"/>
      <c r="G73" s="279" t="s">
        <v>12</v>
      </c>
      <c r="H73" s="309">
        <f>J72</f>
        <v>22706.17</v>
      </c>
      <c r="I73" s="305" t="s">
        <v>37</v>
      </c>
      <c r="J73" s="405">
        <v>14975</v>
      </c>
      <c r="K73" s="167">
        <v>15430</v>
      </c>
      <c r="L73" s="167">
        <v>16020</v>
      </c>
      <c r="M73" s="176">
        <v>16615</v>
      </c>
      <c r="N73" s="7"/>
      <c r="O73" s="7"/>
      <c r="P73" s="92"/>
      <c r="Q73" s="402"/>
      <c r="R73" s="481"/>
      <c r="S73" s="381"/>
      <c r="T73" s="63"/>
      <c r="U73" s="381"/>
      <c r="V73" s="349">
        <v>2026</v>
      </c>
      <c r="W73" s="350">
        <f>Y72</f>
        <v>120878.815</v>
      </c>
      <c r="X73" s="296" t="s">
        <v>37</v>
      </c>
      <c r="Y73" s="352">
        <f>550+1500+668+250+880+750+3723+660+800+500+830+823+862+515+520+300+500+240+250+450+500+400+210+300</f>
        <v>16981</v>
      </c>
      <c r="Z73" s="172">
        <f>550+1500+708+250+880+750+1845+720+800+500+770+830+862+490+520+300+500+300+240+450+500+400+210+350</f>
        <v>15225</v>
      </c>
      <c r="AA73" s="353">
        <f>550+1500+748+250+862+750+1816+720+800+500+670+840+862+470+520+300+500+300+230+450+500+400+210+360</f>
        <v>15108</v>
      </c>
    </row>
    <row r="74" spans="1:28" ht="40.5" customHeight="1" x14ac:dyDescent="0.25">
      <c r="A74" s="62"/>
      <c r="B74" s="63"/>
      <c r="C74" s="83"/>
      <c r="D74" s="96"/>
      <c r="E74" s="84"/>
      <c r="F74" s="96"/>
      <c r="G74" s="279" t="s">
        <v>17</v>
      </c>
      <c r="H74" s="309">
        <f>K72</f>
        <v>26394.5</v>
      </c>
      <c r="I74" s="305" t="s">
        <v>38</v>
      </c>
      <c r="J74" s="405">
        <v>10483</v>
      </c>
      <c r="K74" s="313">
        <f>K73*75%</f>
        <v>11572.5</v>
      </c>
      <c r="L74" s="167">
        <f>L73*80%</f>
        <v>12816</v>
      </c>
      <c r="M74" s="314">
        <f>M73*85%</f>
        <v>14122.75</v>
      </c>
      <c r="N74" s="7"/>
      <c r="O74" s="7"/>
      <c r="P74" s="92"/>
      <c r="Q74" s="402"/>
      <c r="R74" s="481"/>
      <c r="S74" s="381"/>
      <c r="T74" s="63"/>
      <c r="U74" s="381"/>
      <c r="V74" s="482">
        <v>2027</v>
      </c>
      <c r="W74" s="309">
        <f>Z72</f>
        <v>118863.36499999996</v>
      </c>
      <c r="X74" s="305" t="s">
        <v>38</v>
      </c>
      <c r="Y74" s="352">
        <v>13584</v>
      </c>
      <c r="Z74" s="172">
        <v>12941</v>
      </c>
      <c r="AA74" s="353">
        <v>13597</v>
      </c>
    </row>
    <row r="75" spans="1:28" ht="33.75" customHeight="1" x14ac:dyDescent="0.25">
      <c r="A75" s="62"/>
      <c r="B75" s="63"/>
      <c r="C75" s="83"/>
      <c r="D75" s="96"/>
      <c r="E75" s="84"/>
      <c r="F75" s="96"/>
      <c r="G75" s="279" t="s">
        <v>18</v>
      </c>
      <c r="H75" s="309">
        <f>L72</f>
        <v>30692.240000000002</v>
      </c>
      <c r="I75" s="305" t="s">
        <v>66</v>
      </c>
      <c r="J75" s="483">
        <f>J72/J74*1000</f>
        <v>2165.9992368596772</v>
      </c>
      <c r="K75" s="282">
        <f>J75*105.3%</f>
        <v>2280.7971964132398</v>
      </c>
      <c r="L75" s="282">
        <f>K75*105%</f>
        <v>2394.8370562339019</v>
      </c>
      <c r="M75" s="130">
        <f>L75*105%</f>
        <v>2514.5789090455969</v>
      </c>
      <c r="N75" s="7"/>
      <c r="O75" s="7"/>
      <c r="P75" s="92"/>
      <c r="Q75" s="402"/>
      <c r="R75" s="481"/>
      <c r="S75" s="381"/>
      <c r="T75" s="63"/>
      <c r="U75" s="381"/>
      <c r="V75" s="433">
        <v>2028</v>
      </c>
      <c r="W75" s="309">
        <f>AA72</f>
        <v>122332.124</v>
      </c>
      <c r="X75" s="305" t="s">
        <v>155</v>
      </c>
      <c r="Y75" s="484">
        <f>Y72/Y74*1000</f>
        <v>8898.6171230859836</v>
      </c>
      <c r="Z75" s="368">
        <f>Z72/Z74*1000</f>
        <v>9185.0216366586792</v>
      </c>
      <c r="AA75" s="485">
        <f>AA72/AA74*1000</f>
        <v>8996.9937486210183</v>
      </c>
    </row>
    <row r="76" spans="1:28" ht="44.25" customHeight="1" thickBot="1" x14ac:dyDescent="0.3">
      <c r="A76" s="62"/>
      <c r="B76" s="63"/>
      <c r="C76" s="486"/>
      <c r="D76" s="117"/>
      <c r="E76" s="356"/>
      <c r="F76" s="117"/>
      <c r="G76" s="487" t="s">
        <v>19</v>
      </c>
      <c r="H76" s="359">
        <f>M72</f>
        <v>35512.769999999997</v>
      </c>
      <c r="I76" s="488" t="s">
        <v>67</v>
      </c>
      <c r="J76" s="489">
        <v>0.7</v>
      </c>
      <c r="K76" s="490">
        <v>0.75</v>
      </c>
      <c r="L76" s="490">
        <v>0.8</v>
      </c>
      <c r="M76" s="491">
        <v>0.85</v>
      </c>
      <c r="N76" s="7"/>
      <c r="O76" s="7"/>
      <c r="P76" s="92"/>
      <c r="Q76" s="402"/>
      <c r="R76" s="481"/>
      <c r="S76" s="381"/>
      <c r="T76" s="63"/>
      <c r="U76" s="381"/>
      <c r="V76" s="431"/>
      <c r="W76" s="492"/>
      <c r="X76" s="488" t="s">
        <v>156</v>
      </c>
      <c r="Y76" s="493">
        <f>Y74/Y73</f>
        <v>0.79995288852246627</v>
      </c>
      <c r="Z76" s="494">
        <f>Z74/Z73</f>
        <v>0.84998357963875204</v>
      </c>
      <c r="AA76" s="494">
        <f>AA74/AA73</f>
        <v>0.89998676198040772</v>
      </c>
    </row>
    <row r="77" spans="1:28" s="6" customFormat="1" ht="29.25" customHeight="1" thickBot="1" x14ac:dyDescent="0.3">
      <c r="A77" s="62"/>
      <c r="B77" s="63"/>
      <c r="C77" s="495" t="s">
        <v>84</v>
      </c>
      <c r="D77" s="161" t="s">
        <v>27</v>
      </c>
      <c r="E77" s="29" t="s">
        <v>23</v>
      </c>
      <c r="F77" s="29" t="s">
        <v>3</v>
      </c>
      <c r="G77" s="376" t="s">
        <v>11</v>
      </c>
      <c r="H77" s="307" t="e">
        <f>H78+H79+H80+#REF!</f>
        <v>#REF!</v>
      </c>
      <c r="I77" s="69" t="s">
        <v>95</v>
      </c>
      <c r="J77" s="123">
        <v>6034.22</v>
      </c>
      <c r="K77" s="308">
        <v>6972.4</v>
      </c>
      <c r="L77" s="308">
        <v>7844.1</v>
      </c>
      <c r="M77" s="136">
        <v>8236.32</v>
      </c>
      <c r="N77" s="7"/>
      <c r="O77" s="7"/>
      <c r="P77" s="92"/>
      <c r="Q77" s="402"/>
      <c r="R77" s="480" t="s">
        <v>159</v>
      </c>
      <c r="S77" s="161" t="s">
        <v>113</v>
      </c>
      <c r="T77" s="29" t="s">
        <v>182</v>
      </c>
      <c r="U77" s="29" t="s">
        <v>3</v>
      </c>
      <c r="V77" s="376" t="s">
        <v>11</v>
      </c>
      <c r="W77" s="382">
        <f>Y77+Z77+AA77</f>
        <v>51494.200000000004</v>
      </c>
      <c r="X77" s="443" t="s">
        <v>95</v>
      </c>
      <c r="Y77" s="10">
        <v>16562</v>
      </c>
      <c r="Z77" s="496">
        <v>17164.8</v>
      </c>
      <c r="AA77" s="404">
        <v>17767.400000000001</v>
      </c>
      <c r="AB77" s="4" t="e">
        <f>Y77+Z77+AA77+#REF!-W77</f>
        <v>#REF!</v>
      </c>
    </row>
    <row r="78" spans="1:28" s="6" customFormat="1" ht="33.75" customHeight="1" x14ac:dyDescent="0.25">
      <c r="A78" s="62"/>
      <c r="B78" s="63"/>
      <c r="C78" s="497"/>
      <c r="D78" s="165"/>
      <c r="E78" s="15"/>
      <c r="F78" s="15"/>
      <c r="G78" s="425" t="s">
        <v>12</v>
      </c>
      <c r="H78" s="309">
        <f>J77</f>
        <v>6034.22</v>
      </c>
      <c r="I78" s="498" t="s">
        <v>40</v>
      </c>
      <c r="J78" s="499">
        <v>105930</v>
      </c>
      <c r="K78" s="500">
        <v>109108</v>
      </c>
      <c r="L78" s="500">
        <v>112382</v>
      </c>
      <c r="M78" s="501">
        <v>115753</v>
      </c>
      <c r="N78" s="7"/>
      <c r="O78" s="7"/>
      <c r="P78" s="92"/>
      <c r="Q78" s="402"/>
      <c r="R78" s="481"/>
      <c r="S78" s="381"/>
      <c r="T78" s="15"/>
      <c r="U78" s="15"/>
      <c r="V78" s="349">
        <v>2026</v>
      </c>
      <c r="W78" s="350">
        <f>Y77</f>
        <v>16562</v>
      </c>
      <c r="X78" s="351" t="s">
        <v>171</v>
      </c>
      <c r="Y78" s="352">
        <f>35000*4</f>
        <v>140000</v>
      </c>
      <c r="Z78" s="172">
        <v>144000</v>
      </c>
      <c r="AA78" s="353">
        <v>148000</v>
      </c>
    </row>
    <row r="79" spans="1:28" s="6" customFormat="1" ht="33.75" customHeight="1" x14ac:dyDescent="0.25">
      <c r="A79" s="62"/>
      <c r="B79" s="63"/>
      <c r="C79" s="497"/>
      <c r="D79" s="165"/>
      <c r="E79" s="15"/>
      <c r="F79" s="15"/>
      <c r="G79" s="425" t="s">
        <v>17</v>
      </c>
      <c r="H79" s="309">
        <f>K77</f>
        <v>6972.4</v>
      </c>
      <c r="I79" s="502" t="s">
        <v>39</v>
      </c>
      <c r="J79" s="141">
        <f>(J77/J78)*1000</f>
        <v>56.964221655810441</v>
      </c>
      <c r="K79" s="313">
        <f>(K77/K78)*1000</f>
        <v>63.903655094035273</v>
      </c>
      <c r="L79" s="313">
        <f>(L77/L78)*1000</f>
        <v>69.798544250858683</v>
      </c>
      <c r="M79" s="314">
        <f>(M77/M78)*1000</f>
        <v>71.154268139918614</v>
      </c>
      <c r="N79" s="7"/>
      <c r="O79" s="7"/>
      <c r="P79" s="92"/>
      <c r="Q79" s="402"/>
      <c r="R79" s="481"/>
      <c r="S79" s="381"/>
      <c r="T79" s="15"/>
      <c r="U79" s="15"/>
      <c r="V79" s="255">
        <v>2027</v>
      </c>
      <c r="W79" s="309">
        <f>Z77</f>
        <v>17164.8</v>
      </c>
      <c r="X79" s="360" t="s">
        <v>157</v>
      </c>
      <c r="Y79" s="354">
        <f>(Y77/Y78)*1000</f>
        <v>118.3</v>
      </c>
      <c r="Z79" s="313">
        <f>(Z77/Z78)*1000</f>
        <v>119.2</v>
      </c>
      <c r="AA79" s="313">
        <f>AA77/AA78*1000</f>
        <v>120.05</v>
      </c>
    </row>
    <row r="80" spans="1:28" s="6" customFormat="1" ht="57" customHeight="1" thickBot="1" x14ac:dyDescent="0.3">
      <c r="A80" s="62"/>
      <c r="B80" s="63"/>
      <c r="C80" s="497"/>
      <c r="D80" s="165"/>
      <c r="E80" s="15"/>
      <c r="F80" s="15"/>
      <c r="G80" s="425" t="s">
        <v>18</v>
      </c>
      <c r="H80" s="309">
        <f>L77</f>
        <v>7844.1</v>
      </c>
      <c r="I80" s="502" t="s">
        <v>68</v>
      </c>
      <c r="J80" s="503">
        <v>5.0000000000000001E-3</v>
      </c>
      <c r="K80" s="362">
        <v>5.0000000000000001E-3</v>
      </c>
      <c r="L80" s="504">
        <v>5.0000000000000001E-3</v>
      </c>
      <c r="M80" s="505">
        <v>5.0000000000000001E-3</v>
      </c>
      <c r="N80" s="7"/>
      <c r="O80" s="7"/>
      <c r="P80" s="92"/>
      <c r="Q80" s="402"/>
      <c r="R80" s="506"/>
      <c r="S80" s="191"/>
      <c r="T80" s="16"/>
      <c r="U80" s="16"/>
      <c r="V80" s="358">
        <v>2028</v>
      </c>
      <c r="W80" s="326">
        <f>AA77</f>
        <v>17767.400000000001</v>
      </c>
      <c r="X80" s="435" t="s">
        <v>68</v>
      </c>
      <c r="Y80" s="437">
        <v>0.03</v>
      </c>
      <c r="Z80" s="374">
        <v>0.03</v>
      </c>
      <c r="AA80" s="398">
        <v>0.03</v>
      </c>
    </row>
    <row r="81" spans="1:28" s="6" customFormat="1" ht="33" customHeight="1" thickBot="1" x14ac:dyDescent="0.3">
      <c r="A81" s="62"/>
      <c r="B81" s="63"/>
      <c r="C81" s="495" t="s">
        <v>86</v>
      </c>
      <c r="D81" s="161" t="s">
        <v>27</v>
      </c>
      <c r="E81" s="29" t="s">
        <v>23</v>
      </c>
      <c r="F81" s="122" t="s">
        <v>3</v>
      </c>
      <c r="G81" s="376" t="s">
        <v>11</v>
      </c>
      <c r="H81" s="307">
        <f>H82+H83+H84+H85</f>
        <v>7329.03</v>
      </c>
      <c r="I81" s="69" t="s">
        <v>95</v>
      </c>
      <c r="J81" s="507">
        <v>640.5</v>
      </c>
      <c r="K81" s="508">
        <v>2121.66</v>
      </c>
      <c r="L81" s="508">
        <v>2227.7399999999998</v>
      </c>
      <c r="M81" s="509">
        <v>2339.13</v>
      </c>
      <c r="N81" s="7"/>
      <c r="O81" s="7"/>
      <c r="P81" s="92"/>
      <c r="Q81" s="402"/>
      <c r="R81" s="510" t="s">
        <v>160</v>
      </c>
      <c r="S81" s="511" t="s">
        <v>113</v>
      </c>
      <c r="T81" s="512" t="s">
        <v>181</v>
      </c>
      <c r="U81" s="513" t="s">
        <v>3</v>
      </c>
      <c r="V81" s="514" t="s">
        <v>11</v>
      </c>
      <c r="W81" s="404">
        <f>W82+W83+W84+W85</f>
        <v>3450.7608800000003</v>
      </c>
      <c r="X81" s="515" t="s">
        <v>95</v>
      </c>
      <c r="Y81" s="378">
        <v>1062.95</v>
      </c>
      <c r="Z81" s="516">
        <f>Y81*1.08</f>
        <v>1147.9860000000001</v>
      </c>
      <c r="AA81" s="446">
        <f>Z81*1.08</f>
        <v>1239.8248800000001</v>
      </c>
      <c r="AB81" s="4" t="e">
        <f>Y81+Z81+AA81+#REF!-W81</f>
        <v>#REF!</v>
      </c>
    </row>
    <row r="82" spans="1:28" s="6" customFormat="1" ht="34.5" customHeight="1" x14ac:dyDescent="0.25">
      <c r="A82" s="62"/>
      <c r="B82" s="63"/>
      <c r="C82" s="517"/>
      <c r="D82" s="15"/>
      <c r="E82" s="15"/>
      <c r="F82" s="518"/>
      <c r="G82" s="425" t="s">
        <v>12</v>
      </c>
      <c r="H82" s="309">
        <f>J81</f>
        <v>640.5</v>
      </c>
      <c r="I82" s="498" t="s">
        <v>41</v>
      </c>
      <c r="J82" s="519">
        <v>80676</v>
      </c>
      <c r="K82" s="520">
        <v>80676</v>
      </c>
      <c r="L82" s="520">
        <v>80676</v>
      </c>
      <c r="M82" s="168">
        <v>80676</v>
      </c>
      <c r="N82" s="7"/>
      <c r="O82" s="7"/>
      <c r="P82" s="92"/>
      <c r="Q82" s="402"/>
      <c r="R82" s="521"/>
      <c r="S82" s="17"/>
      <c r="T82" s="17"/>
      <c r="U82" s="522"/>
      <c r="V82" s="349">
        <v>2026</v>
      </c>
      <c r="W82" s="523">
        <f>Y81</f>
        <v>1062.95</v>
      </c>
      <c r="X82" s="524" t="s">
        <v>172</v>
      </c>
      <c r="Y82" s="525">
        <v>115000</v>
      </c>
      <c r="Z82" s="427">
        <v>117000</v>
      </c>
      <c r="AA82" s="353">
        <v>120000</v>
      </c>
      <c r="AB82" s="526"/>
    </row>
    <row r="83" spans="1:28" s="6" customFormat="1" ht="58.5" customHeight="1" x14ac:dyDescent="0.25">
      <c r="A83" s="62"/>
      <c r="B83" s="63"/>
      <c r="C83" s="517"/>
      <c r="D83" s="15"/>
      <c r="E83" s="15"/>
      <c r="F83" s="518"/>
      <c r="G83" s="425" t="s">
        <v>17</v>
      </c>
      <c r="H83" s="309">
        <f>K81</f>
        <v>2121.66</v>
      </c>
      <c r="I83" s="498" t="s">
        <v>87</v>
      </c>
      <c r="J83" s="519">
        <v>24598</v>
      </c>
      <c r="K83" s="167">
        <v>24598</v>
      </c>
      <c r="L83" s="167">
        <v>24598</v>
      </c>
      <c r="M83" s="527">
        <v>24598</v>
      </c>
      <c r="N83" s="7"/>
      <c r="O83" s="7"/>
      <c r="P83" s="92"/>
      <c r="Q83" s="402"/>
      <c r="R83" s="521"/>
      <c r="S83" s="17"/>
      <c r="T83" s="17"/>
      <c r="U83" s="522"/>
      <c r="V83" s="255">
        <v>2027</v>
      </c>
      <c r="W83" s="528">
        <f>Z81</f>
        <v>1147.9860000000001</v>
      </c>
      <c r="X83" s="386" t="s">
        <v>173</v>
      </c>
      <c r="Y83" s="387">
        <f>14400*3</f>
        <v>43200</v>
      </c>
      <c r="Z83" s="529">
        <v>43200</v>
      </c>
      <c r="AA83" s="530">
        <v>43200</v>
      </c>
      <c r="AB83" s="526"/>
    </row>
    <row r="84" spans="1:28" s="6" customFormat="1" ht="44.25" customHeight="1" x14ac:dyDescent="0.25">
      <c r="A84" s="62"/>
      <c r="B84" s="63"/>
      <c r="C84" s="517"/>
      <c r="D84" s="15"/>
      <c r="E84" s="15"/>
      <c r="F84" s="518"/>
      <c r="G84" s="531" t="s">
        <v>18</v>
      </c>
      <c r="H84" s="359">
        <f>L81</f>
        <v>2227.7399999999998</v>
      </c>
      <c r="I84" s="502" t="s">
        <v>85</v>
      </c>
      <c r="J84" s="532">
        <v>26.038702333523048</v>
      </c>
      <c r="K84" s="313">
        <v>86.253353931213923</v>
      </c>
      <c r="L84" s="313">
        <v>90.565899666639552</v>
      </c>
      <c r="M84" s="533">
        <v>95.094316611106592</v>
      </c>
      <c r="N84" s="7"/>
      <c r="O84" s="7"/>
      <c r="P84" s="92"/>
      <c r="Q84" s="402"/>
      <c r="R84" s="521"/>
      <c r="S84" s="17"/>
      <c r="T84" s="17"/>
      <c r="U84" s="522"/>
      <c r="V84" s="534">
        <v>2028</v>
      </c>
      <c r="W84" s="535">
        <f>AA81</f>
        <v>1239.8248800000001</v>
      </c>
      <c r="X84" s="390" t="s">
        <v>158</v>
      </c>
      <c r="Y84" s="317">
        <f>Y81/Y83*1000</f>
        <v>24.605324074074076</v>
      </c>
      <c r="Z84" s="318">
        <f>Z81/Z83*1000</f>
        <v>26.573750000000004</v>
      </c>
      <c r="AA84" s="369">
        <f>AA81/AA83*1000</f>
        <v>28.699650000000002</v>
      </c>
      <c r="AB84" s="526"/>
    </row>
    <row r="85" spans="1:28" s="6" customFormat="1" ht="55.5" customHeight="1" thickBot="1" x14ac:dyDescent="0.3">
      <c r="A85" s="62"/>
      <c r="B85" s="63"/>
      <c r="C85" s="517"/>
      <c r="D85" s="15"/>
      <c r="E85" s="15"/>
      <c r="F85" s="518"/>
      <c r="G85" s="531" t="s">
        <v>19</v>
      </c>
      <c r="H85" s="359">
        <f>M81</f>
        <v>2339.13</v>
      </c>
      <c r="I85" s="502" t="s">
        <v>69</v>
      </c>
      <c r="J85" s="536">
        <v>1</v>
      </c>
      <c r="K85" s="537">
        <v>1</v>
      </c>
      <c r="L85" s="537">
        <v>1</v>
      </c>
      <c r="M85" s="538">
        <v>1</v>
      </c>
      <c r="N85" s="7"/>
      <c r="O85" s="7"/>
      <c r="P85" s="539"/>
      <c r="Q85" s="540"/>
      <c r="R85" s="521"/>
      <c r="S85" s="17"/>
      <c r="T85" s="17"/>
      <c r="U85" s="522"/>
      <c r="V85" s="370"/>
      <c r="W85" s="535"/>
      <c r="X85" s="541" t="s">
        <v>69</v>
      </c>
      <c r="Y85" s="396">
        <v>1</v>
      </c>
      <c r="Z85" s="397">
        <v>1</v>
      </c>
      <c r="AA85" s="398">
        <v>1</v>
      </c>
      <c r="AB85" s="526"/>
    </row>
    <row r="86" spans="1:28" ht="26.45" customHeight="1" thickBot="1" x14ac:dyDescent="0.3">
      <c r="A86" s="62"/>
      <c r="B86" s="63"/>
      <c r="C86" s="542" t="s">
        <v>91</v>
      </c>
      <c r="D86" s="165"/>
      <c r="E86" s="122" t="s">
        <v>102</v>
      </c>
      <c r="F86" s="29" t="s">
        <v>3</v>
      </c>
      <c r="G86" s="349" t="s">
        <v>11</v>
      </c>
      <c r="H86" s="543">
        <f>H87+H88+H89+H90</f>
        <v>6036.24</v>
      </c>
      <c r="I86" s="69" t="s">
        <v>95</v>
      </c>
      <c r="J86" s="544">
        <v>2785.5</v>
      </c>
      <c r="K86" s="401">
        <v>748</v>
      </c>
      <c r="L86" s="401">
        <v>1219.04</v>
      </c>
      <c r="M86" s="170">
        <v>1283.7</v>
      </c>
      <c r="N86" s="7"/>
      <c r="O86" s="7"/>
      <c r="P86" s="545"/>
      <c r="Q86" s="546" t="s">
        <v>126</v>
      </c>
      <c r="R86" s="547" t="s">
        <v>134</v>
      </c>
      <c r="S86" s="512" t="s">
        <v>113</v>
      </c>
      <c r="T86" s="512" t="s">
        <v>183</v>
      </c>
      <c r="U86" s="512" t="s">
        <v>3</v>
      </c>
      <c r="V86" s="548" t="s">
        <v>11</v>
      </c>
      <c r="W86" s="549">
        <f>W87+W88+W89+W90</f>
        <v>1341</v>
      </c>
      <c r="X86" s="550" t="s">
        <v>95</v>
      </c>
      <c r="Y86" s="549">
        <v>422</v>
      </c>
      <c r="Z86" s="404">
        <v>446</v>
      </c>
      <c r="AA86" s="551">
        <v>473</v>
      </c>
      <c r="AB86" s="4" t="e">
        <f>Y86+Z86+AA86+#REF!-W86</f>
        <v>#REF!</v>
      </c>
    </row>
    <row r="87" spans="1:28" ht="48" customHeight="1" x14ac:dyDescent="0.25">
      <c r="A87" s="62"/>
      <c r="B87" s="63"/>
      <c r="C87" s="552"/>
      <c r="D87" s="165"/>
      <c r="E87" s="518"/>
      <c r="F87" s="15"/>
      <c r="G87" s="315" t="s">
        <v>12</v>
      </c>
      <c r="H87" s="553">
        <f>J86</f>
        <v>2785.5</v>
      </c>
      <c r="I87" s="310" t="s">
        <v>92</v>
      </c>
      <c r="J87" s="166">
        <v>1</v>
      </c>
      <c r="K87" s="167">
        <v>3</v>
      </c>
      <c r="L87" s="167">
        <v>3</v>
      </c>
      <c r="M87" s="168">
        <v>3</v>
      </c>
      <c r="N87" s="7"/>
      <c r="O87" s="7"/>
      <c r="P87" s="545"/>
      <c r="Q87" s="402"/>
      <c r="R87" s="554"/>
      <c r="S87" s="17"/>
      <c r="T87" s="17"/>
      <c r="U87" s="17"/>
      <c r="V87" s="255">
        <v>2026</v>
      </c>
      <c r="W87" s="555">
        <f>Y86</f>
        <v>422</v>
      </c>
      <c r="X87" s="351" t="s">
        <v>164</v>
      </c>
      <c r="Y87" s="556">
        <v>3</v>
      </c>
      <c r="Z87" s="427">
        <v>3</v>
      </c>
      <c r="AA87" s="353">
        <v>3</v>
      </c>
    </row>
    <row r="88" spans="1:28" ht="36.75" customHeight="1" x14ac:dyDescent="0.25">
      <c r="A88" s="62"/>
      <c r="B88" s="63"/>
      <c r="C88" s="552"/>
      <c r="D88" s="165"/>
      <c r="E88" s="518"/>
      <c r="F88" s="15"/>
      <c r="G88" s="315" t="s">
        <v>17</v>
      </c>
      <c r="H88" s="553">
        <f>K86</f>
        <v>748</v>
      </c>
      <c r="I88" s="310" t="s">
        <v>93</v>
      </c>
      <c r="J88" s="166">
        <v>140</v>
      </c>
      <c r="K88" s="167">
        <v>700</v>
      </c>
      <c r="L88" s="167">
        <v>1200</v>
      </c>
      <c r="M88" s="168">
        <v>2500</v>
      </c>
      <c r="N88" s="7"/>
      <c r="O88" s="7"/>
      <c r="P88" s="545"/>
      <c r="Q88" s="402"/>
      <c r="R88" s="554"/>
      <c r="S88" s="17"/>
      <c r="T88" s="17"/>
      <c r="U88" s="17"/>
      <c r="V88" s="315">
        <v>2027</v>
      </c>
      <c r="W88" s="528">
        <f>Z86</f>
        <v>446</v>
      </c>
      <c r="X88" s="190" t="s">
        <v>165</v>
      </c>
      <c r="Y88" s="557">
        <v>300000</v>
      </c>
      <c r="Z88" s="558">
        <v>300000</v>
      </c>
      <c r="AA88" s="559">
        <v>300000</v>
      </c>
    </row>
    <row r="89" spans="1:28" ht="39.75" customHeight="1" x14ac:dyDescent="0.25">
      <c r="A89" s="62"/>
      <c r="B89" s="63"/>
      <c r="C89" s="552"/>
      <c r="D89" s="165"/>
      <c r="E89" s="518"/>
      <c r="F89" s="15"/>
      <c r="G89" s="560" t="s">
        <v>18</v>
      </c>
      <c r="H89" s="561">
        <f>L86</f>
        <v>1219.04</v>
      </c>
      <c r="I89" s="310" t="s">
        <v>94</v>
      </c>
      <c r="J89" s="281">
        <f>J86/J87</f>
        <v>2785.5</v>
      </c>
      <c r="K89" s="282">
        <f>K86/K87</f>
        <v>249.33333333333334</v>
      </c>
      <c r="L89" s="282">
        <f>L86/L87</f>
        <v>406.34666666666664</v>
      </c>
      <c r="M89" s="130">
        <f>M86/M87</f>
        <v>427.90000000000003</v>
      </c>
      <c r="N89" s="7"/>
      <c r="O89" s="7"/>
      <c r="P89" s="545"/>
      <c r="Q89" s="402"/>
      <c r="R89" s="554"/>
      <c r="S89" s="17"/>
      <c r="T89" s="17"/>
      <c r="U89" s="17"/>
      <c r="V89" s="562">
        <v>2028</v>
      </c>
      <c r="W89" s="523">
        <f>AA86</f>
        <v>473</v>
      </c>
      <c r="X89" s="360" t="s">
        <v>166</v>
      </c>
      <c r="Y89" s="563">
        <f>Y86/Y88*1000</f>
        <v>1.4066666666666667</v>
      </c>
      <c r="Z89" s="564">
        <f>Z86/Z88*1000</f>
        <v>1.4866666666666668</v>
      </c>
      <c r="AA89" s="369">
        <f>AA86/AA88*1000</f>
        <v>1.5766666666666667</v>
      </c>
    </row>
    <row r="90" spans="1:28" ht="31.5" customHeight="1" thickBot="1" x14ac:dyDescent="0.3">
      <c r="A90" s="62"/>
      <c r="B90" s="63"/>
      <c r="C90" s="565"/>
      <c r="D90" s="191"/>
      <c r="E90" s="566"/>
      <c r="F90" s="16"/>
      <c r="G90" s="567" t="s">
        <v>19</v>
      </c>
      <c r="H90" s="568">
        <f>M86</f>
        <v>1283.7</v>
      </c>
      <c r="I90" s="569" t="s">
        <v>101</v>
      </c>
      <c r="J90" s="570">
        <v>1</v>
      </c>
      <c r="K90" s="571">
        <f>K88/J88</f>
        <v>5</v>
      </c>
      <c r="L90" s="571">
        <f>L88/K88</f>
        <v>1.7142857142857142</v>
      </c>
      <c r="M90" s="572">
        <f>M88/L88</f>
        <v>2.0833333333333335</v>
      </c>
      <c r="N90" s="7"/>
      <c r="O90" s="7"/>
      <c r="P90" s="545"/>
      <c r="Q90" s="402"/>
      <c r="R90" s="554"/>
      <c r="S90" s="17"/>
      <c r="T90" s="17"/>
      <c r="U90" s="17"/>
      <c r="V90" s="370"/>
      <c r="W90" s="573"/>
      <c r="X90" s="574" t="s">
        <v>117</v>
      </c>
      <c r="Y90" s="575">
        <v>0.65</v>
      </c>
      <c r="Z90" s="576">
        <v>0.7</v>
      </c>
      <c r="AA90" s="577">
        <v>0.75</v>
      </c>
    </row>
    <row r="91" spans="1:28" ht="24.75" customHeight="1" thickBot="1" x14ac:dyDescent="0.3">
      <c r="A91" s="578"/>
      <c r="B91" s="578"/>
      <c r="C91" s="542" t="s">
        <v>99</v>
      </c>
      <c r="D91" s="29" t="s">
        <v>27</v>
      </c>
      <c r="E91" s="122" t="s">
        <v>31</v>
      </c>
      <c r="F91" s="122" t="s">
        <v>3</v>
      </c>
      <c r="G91" s="349" t="s">
        <v>11</v>
      </c>
      <c r="H91" s="579">
        <f>H92+H93+H94+H95</f>
        <v>3542.0699999999997</v>
      </c>
      <c r="I91" s="201" t="s">
        <v>95</v>
      </c>
      <c r="J91" s="123">
        <v>820</v>
      </c>
      <c r="K91" s="308">
        <v>863.45999999999992</v>
      </c>
      <c r="L91" s="308">
        <v>906.64</v>
      </c>
      <c r="M91" s="136">
        <v>951.97</v>
      </c>
      <c r="N91" s="7"/>
      <c r="O91" s="7"/>
      <c r="P91" s="545"/>
      <c r="Q91" s="402"/>
      <c r="R91" s="542" t="s">
        <v>135</v>
      </c>
      <c r="S91" s="29" t="s">
        <v>113</v>
      </c>
      <c r="T91" s="122" t="s">
        <v>180</v>
      </c>
      <c r="U91" s="29" t="s">
        <v>3</v>
      </c>
      <c r="V91" s="124" t="s">
        <v>11</v>
      </c>
      <c r="W91" s="164">
        <f>W92+W93+W94+W95</f>
        <v>1341</v>
      </c>
      <c r="X91" s="126" t="s">
        <v>95</v>
      </c>
      <c r="Y91" s="164">
        <v>422</v>
      </c>
      <c r="Z91" s="164">
        <v>446</v>
      </c>
      <c r="AA91" s="551">
        <v>473</v>
      </c>
      <c r="AB91" s="4" t="e">
        <f>Y91+Z91+AA91+#REF!-W91</f>
        <v>#REF!</v>
      </c>
    </row>
    <row r="92" spans="1:28" ht="48.75" customHeight="1" x14ac:dyDescent="0.25">
      <c r="A92" s="578"/>
      <c r="B92" s="578"/>
      <c r="C92" s="552"/>
      <c r="D92" s="15"/>
      <c r="E92" s="129"/>
      <c r="F92" s="129"/>
      <c r="G92" s="315" t="s">
        <v>12</v>
      </c>
      <c r="H92" s="580">
        <f>J91</f>
        <v>820</v>
      </c>
      <c r="I92" s="190" t="s">
        <v>89</v>
      </c>
      <c r="J92" s="166">
        <v>4</v>
      </c>
      <c r="K92" s="167">
        <v>4</v>
      </c>
      <c r="L92" s="167">
        <v>4</v>
      </c>
      <c r="M92" s="168">
        <v>4</v>
      </c>
      <c r="P92" s="545"/>
      <c r="Q92" s="402"/>
      <c r="R92" s="552"/>
      <c r="S92" s="15"/>
      <c r="T92" s="129"/>
      <c r="U92" s="447"/>
      <c r="V92" s="482">
        <v>2026</v>
      </c>
      <c r="W92" s="581">
        <f>Y91</f>
        <v>422</v>
      </c>
      <c r="X92" s="351" t="s">
        <v>163</v>
      </c>
      <c r="Y92" s="171">
        <v>3</v>
      </c>
      <c r="Z92" s="172">
        <v>3</v>
      </c>
      <c r="AA92" s="353">
        <v>3</v>
      </c>
    </row>
    <row r="93" spans="1:28" ht="45.75" customHeight="1" x14ac:dyDescent="0.25">
      <c r="A93" s="578"/>
      <c r="B93" s="578"/>
      <c r="C93" s="552"/>
      <c r="D93" s="15"/>
      <c r="E93" s="129"/>
      <c r="F93" s="129"/>
      <c r="G93" s="315" t="s">
        <v>17</v>
      </c>
      <c r="H93" s="580">
        <f>K91</f>
        <v>863.45999999999992</v>
      </c>
      <c r="I93" s="190" t="s">
        <v>56</v>
      </c>
      <c r="J93" s="166">
        <v>400000</v>
      </c>
      <c r="K93" s="167">
        <v>400000</v>
      </c>
      <c r="L93" s="167">
        <v>400000</v>
      </c>
      <c r="M93" s="168">
        <v>400000</v>
      </c>
      <c r="P93" s="545"/>
      <c r="Q93" s="402"/>
      <c r="R93" s="552"/>
      <c r="S93" s="15"/>
      <c r="T93" s="129"/>
      <c r="U93" s="447"/>
      <c r="V93" s="560">
        <v>2027</v>
      </c>
      <c r="W93" s="580">
        <f>Z91</f>
        <v>446</v>
      </c>
      <c r="X93" s="190" t="s">
        <v>165</v>
      </c>
      <c r="Y93" s="557">
        <v>300000</v>
      </c>
      <c r="Z93" s="558">
        <v>300000</v>
      </c>
      <c r="AA93" s="559">
        <v>300000</v>
      </c>
    </row>
    <row r="94" spans="1:28" ht="45.75" customHeight="1" x14ac:dyDescent="0.25">
      <c r="A94" s="578"/>
      <c r="B94" s="578"/>
      <c r="C94" s="552"/>
      <c r="D94" s="15"/>
      <c r="E94" s="129"/>
      <c r="F94" s="129"/>
      <c r="G94" s="560" t="s">
        <v>18</v>
      </c>
      <c r="H94" s="582">
        <f>L91</f>
        <v>906.64</v>
      </c>
      <c r="I94" s="360" t="s">
        <v>90</v>
      </c>
      <c r="J94" s="281">
        <f>J91/J92</f>
        <v>205</v>
      </c>
      <c r="K94" s="282">
        <f>K91/K92</f>
        <v>215.86499999999998</v>
      </c>
      <c r="L94" s="282">
        <f>L91/L92</f>
        <v>226.66</v>
      </c>
      <c r="M94" s="130">
        <f>M91/M92</f>
        <v>237.99250000000001</v>
      </c>
      <c r="P94" s="545"/>
      <c r="Q94" s="402"/>
      <c r="R94" s="552"/>
      <c r="S94" s="15"/>
      <c r="T94" s="129"/>
      <c r="U94" s="447"/>
      <c r="V94" s="315">
        <v>2028</v>
      </c>
      <c r="W94" s="582">
        <f>AA91</f>
        <v>473</v>
      </c>
      <c r="X94" s="360" t="s">
        <v>167</v>
      </c>
      <c r="Y94" s="281">
        <f>Y91/Y93*1000</f>
        <v>1.4066666666666667</v>
      </c>
      <c r="Z94" s="282">
        <f>Z91/Z93*1000</f>
        <v>1.4866666666666668</v>
      </c>
      <c r="AA94" s="369">
        <f>AA91/AA93*1000</f>
        <v>1.5766666666666667</v>
      </c>
    </row>
    <row r="95" spans="1:28" ht="31.5" customHeight="1" thickBot="1" x14ac:dyDescent="0.3">
      <c r="A95" s="578"/>
      <c r="B95" s="578"/>
      <c r="C95" s="552"/>
      <c r="D95" s="15"/>
      <c r="E95" s="129"/>
      <c r="F95" s="129"/>
      <c r="G95" s="567" t="s">
        <v>19</v>
      </c>
      <c r="H95" s="492">
        <f>M91</f>
        <v>951.97</v>
      </c>
      <c r="I95" s="574" t="s">
        <v>88</v>
      </c>
      <c r="J95" s="570">
        <v>0.45</v>
      </c>
      <c r="K95" s="571">
        <v>0.5</v>
      </c>
      <c r="L95" s="571">
        <v>0.55000000000000004</v>
      </c>
      <c r="M95" s="572">
        <v>0.6</v>
      </c>
      <c r="P95" s="545"/>
      <c r="Q95" s="402"/>
      <c r="R95" s="565"/>
      <c r="S95" s="15"/>
      <c r="T95" s="129"/>
      <c r="U95" s="447"/>
      <c r="V95" s="583"/>
      <c r="W95" s="492"/>
      <c r="X95" s="574" t="s">
        <v>88</v>
      </c>
      <c r="Y95" s="570">
        <v>0.65</v>
      </c>
      <c r="Z95" s="571">
        <v>0.7</v>
      </c>
      <c r="AA95" s="577">
        <v>0.75</v>
      </c>
    </row>
    <row r="96" spans="1:28" ht="22.5" customHeight="1" thickBot="1" x14ac:dyDescent="0.3">
      <c r="A96" s="578"/>
      <c r="B96" s="578"/>
      <c r="C96" s="542" t="s">
        <v>98</v>
      </c>
      <c r="D96" s="161" t="s">
        <v>30</v>
      </c>
      <c r="E96" s="122" t="s">
        <v>31</v>
      </c>
      <c r="F96" s="29" t="s">
        <v>3</v>
      </c>
      <c r="G96" s="349" t="s">
        <v>11</v>
      </c>
      <c r="H96" s="399">
        <f>H97+H98+H99+H100</f>
        <v>5313.07</v>
      </c>
      <c r="I96" s="201" t="s">
        <v>95</v>
      </c>
      <c r="J96" s="123">
        <v>1230</v>
      </c>
      <c r="K96" s="308">
        <v>1295.19</v>
      </c>
      <c r="L96" s="308">
        <v>1359.94</v>
      </c>
      <c r="M96" s="136">
        <v>1427.94</v>
      </c>
      <c r="P96" s="545"/>
      <c r="Q96" s="402"/>
      <c r="R96" s="584" t="s">
        <v>136</v>
      </c>
      <c r="S96" s="161" t="s">
        <v>113</v>
      </c>
      <c r="T96" s="650" t="s">
        <v>184</v>
      </c>
      <c r="U96" s="29" t="s">
        <v>3</v>
      </c>
      <c r="V96" s="124" t="s">
        <v>11</v>
      </c>
      <c r="W96" s="365">
        <f>W97+W98+W99+W100</f>
        <v>1341</v>
      </c>
      <c r="X96" s="126" t="s">
        <v>95</v>
      </c>
      <c r="Y96" s="164">
        <v>422</v>
      </c>
      <c r="Z96" s="10">
        <v>446</v>
      </c>
      <c r="AA96" s="551">
        <v>473</v>
      </c>
      <c r="AB96" s="4" t="e">
        <f>Y96+Z96+AA96+#REF!-W96</f>
        <v>#REF!</v>
      </c>
    </row>
    <row r="97" spans="1:28" ht="65.25" customHeight="1" x14ac:dyDescent="0.25">
      <c r="A97" s="578"/>
      <c r="B97" s="578"/>
      <c r="C97" s="552"/>
      <c r="D97" s="165"/>
      <c r="E97" s="129"/>
      <c r="F97" s="447"/>
      <c r="G97" s="315" t="s">
        <v>12</v>
      </c>
      <c r="H97" s="316">
        <f>J96</f>
        <v>1230</v>
      </c>
      <c r="I97" s="190" t="s">
        <v>89</v>
      </c>
      <c r="J97" s="166">
        <v>6</v>
      </c>
      <c r="K97" s="167">
        <v>6</v>
      </c>
      <c r="L97" s="167">
        <v>6</v>
      </c>
      <c r="M97" s="168">
        <v>6</v>
      </c>
      <c r="P97" s="545"/>
      <c r="Q97" s="402"/>
      <c r="R97" s="585"/>
      <c r="S97" s="381"/>
      <c r="T97" s="651"/>
      <c r="U97" s="447"/>
      <c r="V97" s="482">
        <v>2026</v>
      </c>
      <c r="W97" s="408">
        <f>Y96</f>
        <v>422</v>
      </c>
      <c r="X97" s="351" t="s">
        <v>163</v>
      </c>
      <c r="Y97" s="171">
        <v>3</v>
      </c>
      <c r="Z97" s="172">
        <v>3</v>
      </c>
      <c r="AA97" s="353">
        <v>3</v>
      </c>
    </row>
    <row r="98" spans="1:28" ht="51" customHeight="1" x14ac:dyDescent="0.25">
      <c r="A98" s="578"/>
      <c r="B98" s="578"/>
      <c r="C98" s="552"/>
      <c r="D98" s="165"/>
      <c r="E98" s="129"/>
      <c r="F98" s="447"/>
      <c r="G98" s="315" t="s">
        <v>17</v>
      </c>
      <c r="H98" s="316">
        <f>K96</f>
        <v>1295.19</v>
      </c>
      <c r="I98" s="190" t="s">
        <v>56</v>
      </c>
      <c r="J98" s="166">
        <v>600000</v>
      </c>
      <c r="K98" s="167">
        <v>600000</v>
      </c>
      <c r="L98" s="167">
        <v>600000</v>
      </c>
      <c r="M98" s="168">
        <v>600000</v>
      </c>
      <c r="P98" s="545"/>
      <c r="Q98" s="402"/>
      <c r="R98" s="585"/>
      <c r="S98" s="381"/>
      <c r="T98" s="651"/>
      <c r="U98" s="447"/>
      <c r="V98" s="560">
        <v>2027</v>
      </c>
      <c r="W98" s="316">
        <f>Z96</f>
        <v>446</v>
      </c>
      <c r="X98" s="190" t="s">
        <v>56</v>
      </c>
      <c r="Y98" s="557">
        <v>300000</v>
      </c>
      <c r="Z98" s="558">
        <v>300000</v>
      </c>
      <c r="AA98" s="559">
        <v>300000</v>
      </c>
    </row>
    <row r="99" spans="1:28" ht="48.75" customHeight="1" x14ac:dyDescent="0.25">
      <c r="A99" s="578"/>
      <c r="B99" s="578"/>
      <c r="C99" s="552"/>
      <c r="D99" s="165"/>
      <c r="E99" s="129"/>
      <c r="F99" s="447"/>
      <c r="G99" s="560" t="s">
        <v>18</v>
      </c>
      <c r="H99" s="586">
        <f>L96</f>
        <v>1359.94</v>
      </c>
      <c r="I99" s="360" t="s">
        <v>90</v>
      </c>
      <c r="J99" s="580">
        <f>J96/J97</f>
        <v>205</v>
      </c>
      <c r="K99" s="282">
        <f>K96/K97</f>
        <v>215.86500000000001</v>
      </c>
      <c r="L99" s="282">
        <f>L96/L97</f>
        <v>226.65666666666667</v>
      </c>
      <c r="M99" s="553">
        <f>M96/M97</f>
        <v>237.99</v>
      </c>
      <c r="P99" s="545"/>
      <c r="Q99" s="402"/>
      <c r="R99" s="585"/>
      <c r="S99" s="381"/>
      <c r="T99" s="651"/>
      <c r="U99" s="447"/>
      <c r="V99" s="315">
        <v>2028</v>
      </c>
      <c r="W99" s="586">
        <f>AA96</f>
        <v>473</v>
      </c>
      <c r="X99" s="360" t="s">
        <v>168</v>
      </c>
      <c r="Y99" s="580">
        <f>Y96/Y98*1000</f>
        <v>1.4066666666666667</v>
      </c>
      <c r="Z99" s="282">
        <f>Z96/Z98*1000</f>
        <v>1.4866666666666668</v>
      </c>
      <c r="AA99" s="369">
        <f>AA96/AA98*1000</f>
        <v>1.5766666666666667</v>
      </c>
    </row>
    <row r="100" spans="1:28" ht="40.5" customHeight="1" thickBot="1" x14ac:dyDescent="0.3">
      <c r="A100" s="578"/>
      <c r="B100" s="578"/>
      <c r="C100" s="565"/>
      <c r="D100" s="165"/>
      <c r="E100" s="129"/>
      <c r="F100" s="447"/>
      <c r="G100" s="567" t="s">
        <v>19</v>
      </c>
      <c r="H100" s="587">
        <f>M96</f>
        <v>1427.94</v>
      </c>
      <c r="I100" s="574" t="s">
        <v>88</v>
      </c>
      <c r="J100" s="570">
        <v>0.45</v>
      </c>
      <c r="K100" s="571">
        <v>0.5</v>
      </c>
      <c r="L100" s="571">
        <v>0.55000000000000004</v>
      </c>
      <c r="M100" s="572">
        <v>0.6</v>
      </c>
      <c r="P100" s="588"/>
      <c r="Q100" s="402"/>
      <c r="R100" s="589"/>
      <c r="S100" s="191"/>
      <c r="T100" s="652"/>
      <c r="U100" s="466"/>
      <c r="V100" s="583"/>
      <c r="W100" s="587"/>
      <c r="X100" s="574" t="s">
        <v>88</v>
      </c>
      <c r="Y100" s="570">
        <v>0.65</v>
      </c>
      <c r="Z100" s="571">
        <v>0.7</v>
      </c>
      <c r="AA100" s="577">
        <v>0.75</v>
      </c>
    </row>
    <row r="101" spans="1:28" ht="15" customHeight="1" thickBot="1" x14ac:dyDescent="0.3">
      <c r="A101" s="590" t="s">
        <v>42</v>
      </c>
      <c r="B101" s="33"/>
      <c r="C101" s="33"/>
      <c r="D101" s="33"/>
      <c r="E101" s="591"/>
      <c r="F101" s="30" t="s">
        <v>24</v>
      </c>
      <c r="G101" s="592" t="s">
        <v>11</v>
      </c>
      <c r="H101" s="593" t="e">
        <f>H102+H103+H104+#REF!</f>
        <v>#REF!</v>
      </c>
      <c r="I101" s="594"/>
      <c r="J101" s="595"/>
      <c r="K101" s="595"/>
      <c r="L101" s="595"/>
      <c r="M101" s="596"/>
      <c r="P101" s="590" t="s">
        <v>116</v>
      </c>
      <c r="Q101" s="33"/>
      <c r="R101" s="33"/>
      <c r="S101" s="33"/>
      <c r="T101" s="591"/>
      <c r="U101" s="30" t="s">
        <v>24</v>
      </c>
      <c r="V101" s="124" t="s">
        <v>11</v>
      </c>
      <c r="W101" s="597">
        <f>W102+W103+W104</f>
        <v>579632.22435039992</v>
      </c>
      <c r="X101" s="598"/>
      <c r="Y101" s="599">
        <f>Y96+Y91+Y86+Y81+Y72+Y67+Y63+Y59+Y54+Y50+Y46+Y37+Y31+Y27+Y20+Y15+Y10+Y77</f>
        <v>188408.99599999996</v>
      </c>
      <c r="Z101" s="599">
        <f>Z96+Z91+Z86+Z81+Z77+Z72+Z67+Z63+Z59+Z54+Z50+Z46+Z37+Z31+Z20+Z15+Z10+Z27</f>
        <v>191242.89287999997</v>
      </c>
      <c r="AA101" s="599">
        <f>AA96+AA91+AA86+AA81+AA77+AA72+AA67+AA63+AA59+AA54+AA50+AA46+AA37+AA31+AA27+AA20+AA15+AA10</f>
        <v>199980.33547039999</v>
      </c>
    </row>
    <row r="102" spans="1:28" x14ac:dyDescent="0.25">
      <c r="A102" s="600"/>
      <c r="B102" s="601"/>
      <c r="C102" s="601"/>
      <c r="D102" s="601"/>
      <c r="E102" s="602"/>
      <c r="F102" s="603"/>
      <c r="G102" s="102" t="s">
        <v>12</v>
      </c>
      <c r="H102" s="604" t="e">
        <f>H11+H16+H21+H28+H32+#REF!+H42+#REF!+#REF!+#REF!+#REF!+#REF!+#REF!+#REF!+#REF!+#REF!+#REF!+H60+H64+#REF!+#REF!+H68+#REF!+H73+#REF!+H78+#REF!+#REF!+H82+#REF!+H87+#REF!+H92+H97+#REF!</f>
        <v>#REF!</v>
      </c>
      <c r="I102" s="605"/>
      <c r="J102" s="606"/>
      <c r="K102" s="606"/>
      <c r="L102" s="606"/>
      <c r="M102" s="607"/>
      <c r="P102" s="600"/>
      <c r="Q102" s="601"/>
      <c r="R102" s="601"/>
      <c r="S102" s="601"/>
      <c r="T102" s="602"/>
      <c r="U102" s="603"/>
      <c r="V102" s="608" t="s">
        <v>109</v>
      </c>
      <c r="W102" s="307">
        <f>Y101</f>
        <v>188408.99599999996</v>
      </c>
      <c r="X102" s="609"/>
      <c r="Y102" s="610"/>
      <c r="Z102" s="610"/>
      <c r="AA102" s="611"/>
      <c r="AB102" s="4"/>
    </row>
    <row r="103" spans="1:28" x14ac:dyDescent="0.25">
      <c r="A103" s="600"/>
      <c r="B103" s="601"/>
      <c r="C103" s="601"/>
      <c r="D103" s="601"/>
      <c r="E103" s="602"/>
      <c r="F103" s="603"/>
      <c r="G103" s="102" t="s">
        <v>17</v>
      </c>
      <c r="H103" s="604" t="e">
        <f>H12+H17+H22+H29+H33+H38+H43+#REF!+#REF!+#REF!+#REF!+#REF!+#REF!+#REF!+#REF!+#REF!+#REF!+H61+H65+#REF!+#REF!+H69+#REF!+H74+#REF!+H79+#REF!+#REF!+H83+#REF!+H88+#REF!+H93+H98+#REF!</f>
        <v>#REF!</v>
      </c>
      <c r="I103" s="605"/>
      <c r="J103" s="606"/>
      <c r="K103" s="606"/>
      <c r="L103" s="606"/>
      <c r="M103" s="607"/>
      <c r="P103" s="600"/>
      <c r="Q103" s="601"/>
      <c r="R103" s="601"/>
      <c r="S103" s="601"/>
      <c r="T103" s="602"/>
      <c r="U103" s="603"/>
      <c r="V103" s="279" t="s">
        <v>110</v>
      </c>
      <c r="W103" s="309">
        <f>Z101</f>
        <v>191242.89287999997</v>
      </c>
      <c r="X103" s="609"/>
      <c r="Y103" s="610"/>
      <c r="Z103" s="610"/>
      <c r="AA103" s="611"/>
      <c r="AB103" s="4"/>
    </row>
    <row r="104" spans="1:28" ht="15.75" thickBot="1" x14ac:dyDescent="0.3">
      <c r="A104" s="600"/>
      <c r="B104" s="601"/>
      <c r="C104" s="601"/>
      <c r="D104" s="601"/>
      <c r="E104" s="602"/>
      <c r="F104" s="603"/>
      <c r="G104" s="102" t="s">
        <v>18</v>
      </c>
      <c r="H104" s="604" t="e">
        <f>H13+H18+H23+H30+H34+H44+#REF!+#REF!+#REF!+#REF!+#REF!+#REF!+#REF!+#REF!+#REF!+H62+H66+#REF!+#REF!+H70+H75+#REF!+#REF!+#REF!+H84+#REF!+H89+#REF!+H94+H99+#REF!+H80+#REF!+#REF!+H39</f>
        <v>#REF!</v>
      </c>
      <c r="I104" s="605"/>
      <c r="J104" s="606"/>
      <c r="K104" s="606"/>
      <c r="L104" s="606"/>
      <c r="M104" s="607"/>
      <c r="P104" s="600"/>
      <c r="Q104" s="601"/>
      <c r="R104" s="601"/>
      <c r="S104" s="601"/>
      <c r="T104" s="602"/>
      <c r="U104" s="39"/>
      <c r="V104" s="468" t="s">
        <v>111</v>
      </c>
      <c r="W104" s="326">
        <f>AA101</f>
        <v>199980.33547039999</v>
      </c>
      <c r="X104" s="609"/>
      <c r="Y104" s="610"/>
      <c r="Z104" s="610"/>
      <c r="AA104" s="611"/>
      <c r="AB104" s="4"/>
    </row>
    <row r="105" spans="1:28" ht="15" customHeight="1" thickBot="1" x14ac:dyDescent="0.3">
      <c r="A105" s="612"/>
      <c r="B105" s="613"/>
      <c r="C105" s="613"/>
      <c r="D105" s="613"/>
      <c r="E105" s="614"/>
      <c r="F105" s="96" t="s">
        <v>3</v>
      </c>
      <c r="G105" s="102" t="s">
        <v>11</v>
      </c>
      <c r="H105" s="604" t="e">
        <f>SUM(H106:H108)</f>
        <v>#REF!</v>
      </c>
      <c r="I105" s="615"/>
      <c r="J105" s="616"/>
      <c r="K105" s="616"/>
      <c r="L105" s="616"/>
      <c r="M105" s="617"/>
      <c r="P105" s="612"/>
      <c r="Q105" s="613"/>
      <c r="R105" s="613"/>
      <c r="S105" s="613"/>
      <c r="T105" s="614"/>
      <c r="U105" s="618" t="s">
        <v>3</v>
      </c>
      <c r="V105" s="124" t="s">
        <v>11</v>
      </c>
      <c r="W105" s="10">
        <f>W106+W107+W108</f>
        <v>579632.22435039992</v>
      </c>
      <c r="X105" s="609"/>
      <c r="Y105" s="610"/>
      <c r="Z105" s="610"/>
      <c r="AA105" s="611"/>
    </row>
    <row r="106" spans="1:28" x14ac:dyDescent="0.25">
      <c r="A106" s="612"/>
      <c r="B106" s="613"/>
      <c r="C106" s="613"/>
      <c r="D106" s="613"/>
      <c r="E106" s="614"/>
      <c r="F106" s="96"/>
      <c r="G106" s="102" t="s">
        <v>12</v>
      </c>
      <c r="H106" s="604" t="e">
        <f>H11+H16+H21+H28+H32+#REF!+H42+#REF!+#REF!+#REF!+#REF!+#REF!+#REF!+#REF!+#REF!+#REF!+#REF!+H60+H64+#REF!+#REF!+H68+#REF!+H73+#REF!+H78+#REF!+#REF!+H82+#REF!+H87+#REF!+H92+H97+#REF!</f>
        <v>#REF!</v>
      </c>
      <c r="I106" s="615"/>
      <c r="J106" s="616"/>
      <c r="K106" s="616"/>
      <c r="L106" s="616"/>
      <c r="M106" s="617"/>
      <c r="P106" s="612"/>
      <c r="Q106" s="613"/>
      <c r="R106" s="613"/>
      <c r="S106" s="613"/>
      <c r="T106" s="614"/>
      <c r="U106" s="96"/>
      <c r="V106" s="608" t="s">
        <v>109</v>
      </c>
      <c r="W106" s="350">
        <f>Y101</f>
        <v>188408.99599999996</v>
      </c>
      <c r="X106" s="609"/>
      <c r="Y106" s="610"/>
      <c r="Z106" s="610"/>
      <c r="AA106" s="611"/>
    </row>
    <row r="107" spans="1:28" x14ac:dyDescent="0.25">
      <c r="A107" s="612"/>
      <c r="B107" s="613"/>
      <c r="C107" s="613"/>
      <c r="D107" s="613"/>
      <c r="E107" s="614"/>
      <c r="F107" s="96"/>
      <c r="G107" s="102" t="s">
        <v>17</v>
      </c>
      <c r="H107" s="604" t="e">
        <f>H12+H17+H22+H29+H33+H38+H43+#REF!+#REF!+#REF!+#REF!+#REF!+#REF!+#REF!+#REF!+#REF!+#REF!+H61+H65+#REF!+#REF!+H69+#REF!+H74+#REF!+H79+#REF!+#REF!+H83+#REF!+H88+#REF!+H93+H98+#REF!</f>
        <v>#REF!</v>
      </c>
      <c r="I107" s="615"/>
      <c r="J107" s="616"/>
      <c r="K107" s="616"/>
      <c r="L107" s="616"/>
      <c r="M107" s="617"/>
      <c r="P107" s="612"/>
      <c r="Q107" s="613"/>
      <c r="R107" s="613"/>
      <c r="S107" s="613"/>
      <c r="T107" s="614"/>
      <c r="U107" s="96"/>
      <c r="V107" s="279" t="s">
        <v>110</v>
      </c>
      <c r="W107" s="309">
        <f>Z101</f>
        <v>191242.89287999997</v>
      </c>
      <c r="X107" s="609"/>
      <c r="Y107" s="610"/>
      <c r="Z107" s="610"/>
      <c r="AA107" s="611"/>
    </row>
    <row r="108" spans="1:28" ht="15.75" thickBot="1" x14ac:dyDescent="0.3">
      <c r="A108" s="612"/>
      <c r="B108" s="613"/>
      <c r="C108" s="613"/>
      <c r="D108" s="613"/>
      <c r="E108" s="614"/>
      <c r="F108" s="96"/>
      <c r="G108" s="102" t="s">
        <v>18</v>
      </c>
      <c r="H108" s="604" t="e">
        <f>H13+H18+H23+H30+H34+H39+H44+#REF!+#REF!+#REF!+#REF!+#REF!+#REF!+#REF!+#REF!+#REF!+#REF!+H62+H66+#REF!+#REF!+H70+#REF!+H75+#REF!+H80+#REF!+#REF!+H84+#REF!+H89+#REF!+H94+H99+#REF!</f>
        <v>#REF!</v>
      </c>
      <c r="I108" s="615"/>
      <c r="J108" s="616"/>
      <c r="K108" s="616"/>
      <c r="L108" s="616"/>
      <c r="M108" s="617"/>
      <c r="P108" s="619"/>
      <c r="Q108" s="620"/>
      <c r="R108" s="620"/>
      <c r="S108" s="620"/>
      <c r="T108" s="621"/>
      <c r="U108" s="117"/>
      <c r="V108" s="567" t="s">
        <v>111</v>
      </c>
      <c r="W108" s="326">
        <f>AA101</f>
        <v>199980.33547039999</v>
      </c>
      <c r="X108" s="622"/>
      <c r="Y108" s="623"/>
      <c r="Z108" s="623"/>
      <c r="AA108" s="624"/>
    </row>
    <row r="109" spans="1:28" x14ac:dyDescent="0.25">
      <c r="G109" s="20"/>
      <c r="H109" s="21"/>
      <c r="R109" s="625"/>
      <c r="S109" s="19"/>
      <c r="T109" s="20"/>
      <c r="U109" s="19"/>
      <c r="V109" s="20"/>
      <c r="W109" s="21"/>
      <c r="X109" s="18"/>
      <c r="Y109" s="20"/>
      <c r="Z109" s="20"/>
      <c r="AA109" s="20"/>
    </row>
    <row r="110" spans="1:28" x14ac:dyDescent="0.25">
      <c r="G110" s="20"/>
      <c r="H110" s="21"/>
    </row>
    <row r="111" spans="1:28" x14ac:dyDescent="0.25">
      <c r="G111" s="20"/>
      <c r="H111" s="21"/>
      <c r="Q111" s="22"/>
      <c r="R111" s="656" t="s">
        <v>170</v>
      </c>
      <c r="S111" s="657"/>
      <c r="T111" s="657"/>
      <c r="U111" s="657"/>
      <c r="V111" s="657"/>
      <c r="W111" s="657"/>
      <c r="X111" s="657"/>
    </row>
    <row r="112" spans="1:28" x14ac:dyDescent="0.25">
      <c r="A112" s="9"/>
      <c r="B112" s="9"/>
      <c r="C112" s="625"/>
      <c r="D112" s="626"/>
      <c r="E112" s="627"/>
      <c r="F112" s="626"/>
      <c r="G112" s="627"/>
      <c r="H112" s="628"/>
      <c r="I112" s="625"/>
      <c r="J112" s="627"/>
      <c r="K112" s="627"/>
      <c r="L112" s="627"/>
      <c r="M112" s="627"/>
      <c r="N112" s="11"/>
      <c r="O112" s="11"/>
      <c r="P112" s="9"/>
      <c r="Q112" s="9"/>
      <c r="R112" s="9"/>
      <c r="S112" s="9"/>
      <c r="T112" s="9"/>
      <c r="U112" s="9"/>
      <c r="V112" s="9"/>
      <c r="W112" s="12"/>
      <c r="X112" s="629"/>
      <c r="Y112" s="9"/>
      <c r="Z112" s="9"/>
      <c r="AA112" s="9"/>
      <c r="AB112" s="9"/>
    </row>
    <row r="113" spans="1:28" x14ac:dyDescent="0.25">
      <c r="A113" s="9"/>
      <c r="B113" s="9"/>
      <c r="C113" s="625"/>
      <c r="D113" s="626"/>
      <c r="E113" s="627"/>
      <c r="F113" s="626"/>
      <c r="G113" s="627"/>
      <c r="H113" s="628"/>
      <c r="I113" s="625"/>
      <c r="J113" s="627"/>
      <c r="K113" s="627"/>
      <c r="L113" s="627"/>
      <c r="M113" s="627"/>
      <c r="N113" s="11"/>
      <c r="O113" s="11"/>
      <c r="P113" s="9"/>
      <c r="Q113" s="9"/>
      <c r="R113" s="9"/>
      <c r="S113" s="9"/>
      <c r="T113" s="9"/>
      <c r="U113" s="9"/>
      <c r="V113" s="9"/>
      <c r="W113" s="12"/>
      <c r="X113" s="9"/>
      <c r="Y113" s="9"/>
      <c r="Z113" s="9"/>
      <c r="AA113" s="9"/>
      <c r="AB113" s="9"/>
    </row>
    <row r="114" spans="1:28" x14ac:dyDescent="0.25">
      <c r="A114" s="9"/>
      <c r="B114" s="9"/>
      <c r="C114" s="625"/>
      <c r="D114" s="626"/>
      <c r="E114" s="627"/>
      <c r="F114" s="626"/>
      <c r="G114" s="627"/>
      <c r="H114" s="628"/>
      <c r="I114" s="625"/>
      <c r="J114" s="627"/>
      <c r="K114" s="627"/>
      <c r="L114" s="627"/>
      <c r="M114" s="627"/>
      <c r="N114" s="11"/>
      <c r="O114" s="11"/>
      <c r="P114" s="9"/>
      <c r="Q114" s="9"/>
      <c r="R114" s="9"/>
      <c r="S114" s="9"/>
      <c r="T114" s="9"/>
      <c r="U114" s="9"/>
      <c r="V114" s="9"/>
      <c r="W114" s="12"/>
      <c r="X114" s="9"/>
      <c r="Y114" s="9"/>
      <c r="Z114" s="9"/>
      <c r="AA114" s="9"/>
      <c r="AB114" s="9"/>
    </row>
    <row r="115" spans="1:28" x14ac:dyDescent="0.25">
      <c r="A115" s="9"/>
      <c r="B115" s="9"/>
      <c r="C115" s="625"/>
      <c r="D115" s="626"/>
      <c r="E115" s="627"/>
      <c r="F115" s="626"/>
      <c r="G115" s="627"/>
      <c r="H115" s="628"/>
      <c r="I115" s="625"/>
      <c r="J115" s="627"/>
      <c r="K115" s="627"/>
      <c r="L115" s="627"/>
      <c r="M115" s="627"/>
      <c r="N115" s="11"/>
      <c r="O115" s="11"/>
      <c r="P115" s="9"/>
      <c r="Q115" s="9"/>
      <c r="R115" s="9"/>
      <c r="S115" s="9"/>
      <c r="T115" s="9"/>
      <c r="U115" s="9"/>
      <c r="V115" s="9"/>
      <c r="W115" s="12"/>
      <c r="X115" s="9"/>
      <c r="Y115" s="9"/>
      <c r="Z115" s="9"/>
      <c r="AA115" s="9"/>
      <c r="AB115" s="9"/>
    </row>
    <row r="116" spans="1:28" x14ac:dyDescent="0.25">
      <c r="A116" s="9"/>
      <c r="B116" s="9"/>
      <c r="C116" s="625"/>
      <c r="D116" s="626"/>
      <c r="E116" s="627"/>
      <c r="F116" s="626"/>
      <c r="G116" s="627"/>
      <c r="H116" s="628"/>
      <c r="I116" s="625"/>
      <c r="J116" s="627"/>
      <c r="K116" s="627"/>
      <c r="L116" s="627"/>
      <c r="M116" s="627"/>
      <c r="N116" s="11"/>
      <c r="O116" s="11"/>
      <c r="P116" s="9"/>
      <c r="Q116" s="9"/>
      <c r="R116" s="9"/>
      <c r="S116" s="9"/>
      <c r="T116" s="9"/>
      <c r="U116" s="9"/>
      <c r="V116" s="9"/>
      <c r="W116" s="12"/>
      <c r="X116" s="9"/>
      <c r="Y116" s="9"/>
      <c r="Z116" s="9"/>
      <c r="AA116" s="9"/>
      <c r="AB116" s="9"/>
    </row>
    <row r="117" spans="1:28" x14ac:dyDescent="0.25">
      <c r="A117" s="9"/>
      <c r="B117" s="9"/>
      <c r="C117" s="625"/>
      <c r="D117" s="626"/>
      <c r="E117" s="627"/>
      <c r="F117" s="626"/>
      <c r="G117" s="627"/>
      <c r="H117" s="628"/>
      <c r="I117" s="625"/>
      <c r="J117" s="627"/>
      <c r="K117" s="627"/>
      <c r="L117" s="627"/>
      <c r="M117" s="627"/>
      <c r="N117" s="11"/>
      <c r="O117" s="11"/>
      <c r="P117" s="9"/>
      <c r="Q117" s="9"/>
      <c r="R117" s="9"/>
      <c r="S117" s="9"/>
      <c r="T117" s="9"/>
      <c r="U117" s="9"/>
      <c r="V117" s="9"/>
      <c r="W117" s="12"/>
      <c r="X117" s="9"/>
      <c r="Y117" s="9"/>
      <c r="Z117" s="9"/>
      <c r="AA117" s="9"/>
      <c r="AB117" s="9"/>
    </row>
    <row r="118" spans="1:28" x14ac:dyDescent="0.25">
      <c r="A118" s="9"/>
      <c r="B118" s="9"/>
      <c r="C118" s="625"/>
      <c r="D118" s="626"/>
      <c r="E118" s="627"/>
      <c r="F118" s="626"/>
      <c r="G118" s="627"/>
      <c r="H118" s="628"/>
      <c r="I118" s="625"/>
      <c r="J118" s="627"/>
      <c r="K118" s="627"/>
      <c r="L118" s="627"/>
      <c r="M118" s="627"/>
      <c r="N118" s="11"/>
      <c r="O118" s="11"/>
      <c r="P118" s="9"/>
      <c r="Q118" s="9"/>
      <c r="R118" s="9"/>
      <c r="S118" s="9"/>
      <c r="T118" s="9"/>
      <c r="U118" s="9"/>
      <c r="V118" s="9"/>
      <c r="W118" s="12"/>
      <c r="X118" s="9"/>
      <c r="Y118" s="9"/>
      <c r="Z118" s="9"/>
      <c r="AA118" s="9"/>
      <c r="AB118" s="9"/>
    </row>
    <row r="119" spans="1:28" x14ac:dyDescent="0.25">
      <c r="A119" s="9"/>
      <c r="B119" s="9"/>
      <c r="C119" s="625"/>
      <c r="D119" s="626"/>
      <c r="E119" s="627"/>
      <c r="F119" s="626"/>
      <c r="G119" s="627"/>
      <c r="H119" s="628"/>
      <c r="I119" s="625"/>
      <c r="J119" s="627"/>
      <c r="K119" s="627"/>
      <c r="L119" s="627"/>
      <c r="M119" s="627"/>
      <c r="N119" s="11"/>
      <c r="O119" s="11"/>
      <c r="P119" s="9"/>
      <c r="Q119" s="9"/>
      <c r="R119" s="9"/>
      <c r="S119" s="9"/>
      <c r="T119" s="9"/>
      <c r="U119" s="9"/>
      <c r="V119" s="9"/>
      <c r="W119" s="12"/>
      <c r="X119" s="9"/>
      <c r="Y119" s="9"/>
      <c r="Z119" s="9"/>
      <c r="AA119" s="9"/>
      <c r="AB119" s="9"/>
    </row>
    <row r="121" spans="1:28" x14ac:dyDescent="0.25">
      <c r="W121" s="655"/>
    </row>
  </sheetData>
  <mergeCells count="219">
    <mergeCell ref="X3:AA3"/>
    <mergeCell ref="R111:X111"/>
    <mergeCell ref="X7:AA7"/>
    <mergeCell ref="V7:W8"/>
    <mergeCell ref="W38:W40"/>
    <mergeCell ref="V41:V42"/>
    <mergeCell ref="W41:W42"/>
    <mergeCell ref="R54:R58"/>
    <mergeCell ref="S54:S57"/>
    <mergeCell ref="T54:T58"/>
    <mergeCell ref="U54:U58"/>
    <mergeCell ref="R46:R49"/>
    <mergeCell ref="S46:S49"/>
    <mergeCell ref="T46:T49"/>
    <mergeCell ref="U46:U49"/>
    <mergeCell ref="R50:R53"/>
    <mergeCell ref="S50:S53"/>
    <mergeCell ref="T50:T53"/>
    <mergeCell ref="U50:U53"/>
    <mergeCell ref="S15:S19"/>
    <mergeCell ref="S31:S34"/>
    <mergeCell ref="S10:S14"/>
    <mergeCell ref="S37:S45"/>
    <mergeCell ref="T31:T34"/>
    <mergeCell ref="AA18:AA19"/>
    <mergeCell ref="Y44:Y45"/>
    <mergeCell ref="Z70:Z71"/>
    <mergeCell ref="AA70:AA71"/>
    <mergeCell ref="X70:X71"/>
    <mergeCell ref="Y70:Y71"/>
    <mergeCell ref="V9:W9"/>
    <mergeCell ref="Q86:Q100"/>
    <mergeCell ref="P86:P100"/>
    <mergeCell ref="T27:T30"/>
    <mergeCell ref="U27:U30"/>
    <mergeCell ref="T20:T26"/>
    <mergeCell ref="U20:U26"/>
    <mergeCell ref="R27:R30"/>
    <mergeCell ref="S27:S30"/>
    <mergeCell ref="U31:U34"/>
    <mergeCell ref="P16:P24"/>
    <mergeCell ref="R20:R26"/>
    <mergeCell ref="S20:S26"/>
    <mergeCell ref="T59:T62"/>
    <mergeCell ref="U59:U62"/>
    <mergeCell ref="Z44:Z45"/>
    <mergeCell ref="AA44:AA45"/>
    <mergeCell ref="V38:V40"/>
    <mergeCell ref="X18:X19"/>
    <mergeCell ref="U15:U19"/>
    <mergeCell ref="T15:T19"/>
    <mergeCell ref="Y18:Y19"/>
    <mergeCell ref="Z18:Z19"/>
    <mergeCell ref="E41:E45"/>
    <mergeCell ref="F41:F45"/>
    <mergeCell ref="L3:M3"/>
    <mergeCell ref="A4:M4"/>
    <mergeCell ref="P4:AA4"/>
    <mergeCell ref="A5:M5"/>
    <mergeCell ref="P5:AA5"/>
    <mergeCell ref="E6:I6"/>
    <mergeCell ref="T6:X6"/>
    <mergeCell ref="A10:A90"/>
    <mergeCell ref="B10:B90"/>
    <mergeCell ref="P7:P8"/>
    <mergeCell ref="Q7:Q8"/>
    <mergeCell ref="R7:R8"/>
    <mergeCell ref="S7:S8"/>
    <mergeCell ref="T7:T8"/>
    <mergeCell ref="U7:U8"/>
    <mergeCell ref="T10:T14"/>
    <mergeCell ref="F10:F14"/>
    <mergeCell ref="R10:R14"/>
    <mergeCell ref="E15:E19"/>
    <mergeCell ref="F15:F19"/>
    <mergeCell ref="R15:R19"/>
    <mergeCell ref="U10:U14"/>
    <mergeCell ref="R37:R45"/>
    <mergeCell ref="I44:I45"/>
    <mergeCell ref="J44:J45"/>
    <mergeCell ref="K44:K45"/>
    <mergeCell ref="L44:L45"/>
    <mergeCell ref="M44:M45"/>
    <mergeCell ref="Q10:Q16"/>
    <mergeCell ref="F20:F26"/>
    <mergeCell ref="R31:R34"/>
    <mergeCell ref="I18:I19"/>
    <mergeCell ref="J18:J19"/>
    <mergeCell ref="K18:K19"/>
    <mergeCell ref="L18:L19"/>
    <mergeCell ref="M18:M19"/>
    <mergeCell ref="G25:H26"/>
    <mergeCell ref="A7:A8"/>
    <mergeCell ref="B7:B8"/>
    <mergeCell ref="C7:C8"/>
    <mergeCell ref="C10:C14"/>
    <mergeCell ref="D7:D8"/>
    <mergeCell ref="E7:E8"/>
    <mergeCell ref="F7:F8"/>
    <mergeCell ref="G7:H8"/>
    <mergeCell ref="I7:M7"/>
    <mergeCell ref="D10:D14"/>
    <mergeCell ref="E10:E14"/>
    <mergeCell ref="C27:C30"/>
    <mergeCell ref="D27:D30"/>
    <mergeCell ref="E27:E30"/>
    <mergeCell ref="F27:F30"/>
    <mergeCell ref="C20:C26"/>
    <mergeCell ref="D20:D26"/>
    <mergeCell ref="M39:M40"/>
    <mergeCell ref="C31:C34"/>
    <mergeCell ref="D31:D34"/>
    <mergeCell ref="E31:E34"/>
    <mergeCell ref="F31:F34"/>
    <mergeCell ref="C37:C40"/>
    <mergeCell ref="D37:D40"/>
    <mergeCell ref="E37:E40"/>
    <mergeCell ref="F37:F40"/>
    <mergeCell ref="E20:E26"/>
    <mergeCell ref="C15:C19"/>
    <mergeCell ref="D15:D19"/>
    <mergeCell ref="T37:T45"/>
    <mergeCell ref="U37:U45"/>
    <mergeCell ref="X44:X45"/>
    <mergeCell ref="V44:V45"/>
    <mergeCell ref="W44:W45"/>
    <mergeCell ref="C59:C62"/>
    <mergeCell ref="D59:D62"/>
    <mergeCell ref="E59:E62"/>
    <mergeCell ref="F59:F62"/>
    <mergeCell ref="R59:R62"/>
    <mergeCell ref="S59:S62"/>
    <mergeCell ref="C41:C45"/>
    <mergeCell ref="D41:D45"/>
    <mergeCell ref="I39:I40"/>
    <mergeCell ref="J39:J40"/>
    <mergeCell ref="K39:K40"/>
    <mergeCell ref="L39:L40"/>
    <mergeCell ref="Q59:Q85"/>
    <mergeCell ref="W70:W71"/>
    <mergeCell ref="V70:V71"/>
    <mergeCell ref="C63:C66"/>
    <mergeCell ref="D63:D66"/>
    <mergeCell ref="E63:E66"/>
    <mergeCell ref="F63:F66"/>
    <mergeCell ref="R63:R66"/>
    <mergeCell ref="S63:S66"/>
    <mergeCell ref="T63:T66"/>
    <mergeCell ref="U63:U66"/>
    <mergeCell ref="C67:C71"/>
    <mergeCell ref="D67:D71"/>
    <mergeCell ref="E67:E71"/>
    <mergeCell ref="F67:F71"/>
    <mergeCell ref="T67:T71"/>
    <mergeCell ref="U67:U71"/>
    <mergeCell ref="I70:I71"/>
    <mergeCell ref="J70:J71"/>
    <mergeCell ref="K70:K71"/>
    <mergeCell ref="L70:L71"/>
    <mergeCell ref="M70:M71"/>
    <mergeCell ref="R67:R71"/>
    <mergeCell ref="S67:S71"/>
    <mergeCell ref="C77:C80"/>
    <mergeCell ref="D77:D80"/>
    <mergeCell ref="E77:E80"/>
    <mergeCell ref="F77:F80"/>
    <mergeCell ref="R77:R80"/>
    <mergeCell ref="S77:S80"/>
    <mergeCell ref="T77:T80"/>
    <mergeCell ref="U77:U80"/>
    <mergeCell ref="C72:C76"/>
    <mergeCell ref="D72:D76"/>
    <mergeCell ref="E72:E76"/>
    <mergeCell ref="F72:F76"/>
    <mergeCell ref="R72:R76"/>
    <mergeCell ref="S72:S76"/>
    <mergeCell ref="T72:T76"/>
    <mergeCell ref="U72:U76"/>
    <mergeCell ref="S91:S95"/>
    <mergeCell ref="T81:T85"/>
    <mergeCell ref="U81:U85"/>
    <mergeCell ref="C86:C90"/>
    <mergeCell ref="D86:D90"/>
    <mergeCell ref="E86:E90"/>
    <mergeCell ref="F86:F90"/>
    <mergeCell ref="R86:R90"/>
    <mergeCell ref="S86:S90"/>
    <mergeCell ref="T86:T90"/>
    <mergeCell ref="U86:U90"/>
    <mergeCell ref="C81:C85"/>
    <mergeCell ref="D81:D85"/>
    <mergeCell ref="E81:E85"/>
    <mergeCell ref="F81:F85"/>
    <mergeCell ref="R81:R85"/>
    <mergeCell ref="S81:S85"/>
    <mergeCell ref="F105:F108"/>
    <mergeCell ref="U105:U108"/>
    <mergeCell ref="A101:E108"/>
    <mergeCell ref="F101:F104"/>
    <mergeCell ref="I101:M108"/>
    <mergeCell ref="P101:T108"/>
    <mergeCell ref="U101:U104"/>
    <mergeCell ref="A91:A100"/>
    <mergeCell ref="B91:B100"/>
    <mergeCell ref="T91:T95"/>
    <mergeCell ref="U91:U95"/>
    <mergeCell ref="C96:C100"/>
    <mergeCell ref="D96:D100"/>
    <mergeCell ref="E96:E100"/>
    <mergeCell ref="F96:F100"/>
    <mergeCell ref="R96:R100"/>
    <mergeCell ref="S96:S100"/>
    <mergeCell ref="T96:T100"/>
    <mergeCell ref="U96:U100"/>
    <mergeCell ref="C91:C95"/>
    <mergeCell ref="D91:D95"/>
    <mergeCell ref="E91:E95"/>
    <mergeCell ref="F91:F95"/>
    <mergeCell ref="R91:R95"/>
  </mergeCells>
  <printOptions horizontalCentered="1"/>
  <pageMargins left="0.62992125984251968" right="0.39370078740157483" top="0.39370078740157483" bottom="0.35433070866141736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нова редакція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Ареф'єва Ольга Євгеніївна</dc:creator>
  <cp:lastModifiedBy>User</cp:lastModifiedBy>
  <cp:lastPrinted>2025-05-29T15:27:07Z</cp:lastPrinted>
  <dcterms:created xsi:type="dcterms:W3CDTF">2019-12-17T07:53:40Z</dcterms:created>
  <dcterms:modified xsi:type="dcterms:W3CDTF">2025-05-29T15:27:23Z</dcterms:modified>
</cp:coreProperties>
</file>