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Мотрунич Ірина\НОВІ РОБОЧІ ДОКУМЕНТИ\програми розробка\коригування програми Підтримка і ГЗ\Рішення КМР Підтримка 2026-2028\"/>
    </mc:Choice>
  </mc:AlternateContent>
  <xr:revisionPtr revIDLastSave="0" documentId="13_ncr:1_{766557C8-C4C7-4391-9874-4CCD66AED4D1}" xr6:coauthVersionLast="47" xr6:coauthVersionMax="47" xr10:uidLastSave="{00000000-0000-0000-0000-000000000000}"/>
  <bookViews>
    <workbookView xWindow="-120" yWindow="-120" windowWidth="29040" windowHeight="15840" tabRatio="580" firstSheet="1" activeTab="1" xr2:uid="{00000000-000D-0000-FFFF-FFFF00000000}"/>
  </bookViews>
  <sheets>
    <sheet name="шаблон для звіту" sheetId="2" state="hidden" r:id="rId1"/>
    <sheet name="Нова2 " sheetId="5" r:id="rId2"/>
  </sheets>
  <definedNames>
    <definedName name="_xlnm._FilterDatabase" localSheetId="1" hidden="1">'Нова2 '!$A$11:$S$461</definedName>
    <definedName name="_xlnm.Print_Titles" localSheetId="0">'шаблон для звіту'!$4:$6</definedName>
    <definedName name="_xlnm.Print_Area" localSheetId="0">'шаблон для звіту'!$A$1:$O$293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1" i="5" l="1"/>
  <c r="L395" i="5" l="1"/>
  <c r="N395" i="5" l="1"/>
  <c r="M395" i="5"/>
  <c r="N396" i="5" l="1"/>
  <c r="M396" i="5"/>
  <c r="L396" i="5"/>
  <c r="H40" i="5"/>
  <c r="H38" i="5"/>
  <c r="N440" i="5"/>
  <c r="M440" i="5"/>
  <c r="L440" i="5"/>
  <c r="H476" i="5"/>
  <c r="H474" i="5"/>
  <c r="L439" i="5"/>
  <c r="M439" i="5" s="1"/>
  <c r="H414" i="5"/>
  <c r="H457" i="5"/>
  <c r="H459" i="5"/>
  <c r="K11" i="5"/>
  <c r="N439" i="5" l="1"/>
  <c r="H441" i="5"/>
  <c r="H440" i="5"/>
  <c r="H472" i="5"/>
  <c r="H439" i="5" l="1"/>
  <c r="H118" i="5"/>
  <c r="H442" i="5" l="1"/>
  <c r="L393" i="5"/>
  <c r="L105" i="5" l="1"/>
  <c r="L99" i="5"/>
  <c r="L93" i="5"/>
  <c r="L87" i="5"/>
  <c r="L81" i="5"/>
  <c r="L69" i="5"/>
  <c r="N393" i="5"/>
  <c r="M391" i="5"/>
  <c r="M393" i="5" s="1"/>
  <c r="L407" i="5"/>
  <c r="L385" i="5"/>
  <c r="L379" i="5"/>
  <c r="L373" i="5"/>
  <c r="L367" i="5"/>
  <c r="L361" i="5"/>
  <c r="L355" i="5"/>
  <c r="L349" i="5"/>
  <c r="L343" i="5"/>
  <c r="L337" i="5"/>
  <c r="L331" i="5"/>
  <c r="L325" i="5"/>
  <c r="L319" i="5"/>
  <c r="L313" i="5"/>
  <c r="L307" i="5"/>
  <c r="L301" i="5"/>
  <c r="L295" i="5"/>
  <c r="L289" i="5"/>
  <c r="L283" i="5"/>
  <c r="L273" i="5"/>
  <c r="L267" i="5"/>
  <c r="L261" i="5"/>
  <c r="L255" i="5"/>
  <c r="L249" i="5"/>
  <c r="L243" i="5"/>
  <c r="L237" i="5"/>
  <c r="L240" i="5" s="1"/>
  <c r="L231" i="5"/>
  <c r="L233" i="5" s="1"/>
  <c r="L225" i="5"/>
  <c r="L219" i="5"/>
  <c r="L213" i="5"/>
  <c r="L207" i="5"/>
  <c r="L201" i="5"/>
  <c r="L195" i="5"/>
  <c r="L189" i="5"/>
  <c r="L183" i="5"/>
  <c r="L177" i="5"/>
  <c r="L171" i="5"/>
  <c r="L165" i="5"/>
  <c r="L159" i="5"/>
  <c r="L153" i="5"/>
  <c r="L147" i="5"/>
  <c r="L141" i="5"/>
  <c r="L135" i="5"/>
  <c r="L111" i="5"/>
  <c r="L73" i="5" l="1"/>
  <c r="H72" i="5"/>
  <c r="K105" i="5"/>
  <c r="H418" i="5"/>
  <c r="H417" i="5"/>
  <c r="K403" i="5"/>
  <c r="J403" i="5"/>
  <c r="H403" i="5"/>
  <c r="H402" i="5"/>
  <c r="H401" i="5"/>
  <c r="M407" i="5"/>
  <c r="M385" i="5"/>
  <c r="N385" i="5" s="1"/>
  <c r="N387" i="5" s="1"/>
  <c r="M379" i="5"/>
  <c r="N379" i="5" s="1"/>
  <c r="M373" i="5"/>
  <c r="N373" i="5" s="1"/>
  <c r="M367" i="5"/>
  <c r="N367" i="5" s="1"/>
  <c r="M361" i="5"/>
  <c r="N361" i="5" s="1"/>
  <c r="M355" i="5"/>
  <c r="N355" i="5" s="1"/>
  <c r="M349" i="5"/>
  <c r="N349" i="5" s="1"/>
  <c r="M343" i="5"/>
  <c r="N343" i="5" s="1"/>
  <c r="M337" i="5"/>
  <c r="N337" i="5" s="1"/>
  <c r="M331" i="5"/>
  <c r="N331" i="5" s="1"/>
  <c r="M325" i="5"/>
  <c r="N325" i="5" s="1"/>
  <c r="M319" i="5"/>
  <c r="N319" i="5" s="1"/>
  <c r="M307" i="5"/>
  <c r="N307" i="5" s="1"/>
  <c r="M313" i="5"/>
  <c r="N313" i="5" s="1"/>
  <c r="M301" i="5"/>
  <c r="N301" i="5" s="1"/>
  <c r="M295" i="5"/>
  <c r="N295" i="5" s="1"/>
  <c r="M289" i="5"/>
  <c r="N289" i="5" s="1"/>
  <c r="M283" i="5"/>
  <c r="N283" i="5" s="1"/>
  <c r="M273" i="5"/>
  <c r="N273" i="5" s="1"/>
  <c r="M267" i="5"/>
  <c r="N267" i="5" s="1"/>
  <c r="M261" i="5"/>
  <c r="N261" i="5" s="1"/>
  <c r="M255" i="5"/>
  <c r="N255" i="5" s="1"/>
  <c r="M249" i="5"/>
  <c r="N249" i="5" s="1"/>
  <c r="M243" i="5"/>
  <c r="N243" i="5" s="1"/>
  <c r="M237" i="5"/>
  <c r="N237" i="5" s="1"/>
  <c r="M231" i="5"/>
  <c r="N231" i="5" s="1"/>
  <c r="M225" i="5"/>
  <c r="N225" i="5" s="1"/>
  <c r="M219" i="5"/>
  <c r="N219" i="5" s="1"/>
  <c r="M213" i="5"/>
  <c r="N213" i="5" s="1"/>
  <c r="H218" i="5" s="1"/>
  <c r="M207" i="5"/>
  <c r="N207" i="5" s="1"/>
  <c r="M201" i="5"/>
  <c r="N201" i="5" s="1"/>
  <c r="M195" i="5"/>
  <c r="N195" i="5" s="1"/>
  <c r="M189" i="5"/>
  <c r="N189" i="5" s="1"/>
  <c r="M183" i="5"/>
  <c r="N183" i="5" s="1"/>
  <c r="M177" i="5"/>
  <c r="N177" i="5" s="1"/>
  <c r="M171" i="5"/>
  <c r="N171" i="5" s="1"/>
  <c r="M165" i="5"/>
  <c r="N165" i="5" s="1"/>
  <c r="M159" i="5"/>
  <c r="N159" i="5" s="1"/>
  <c r="M153" i="5"/>
  <c r="N153" i="5" s="1"/>
  <c r="M147" i="5"/>
  <c r="N147" i="5" s="1"/>
  <c r="M141" i="5"/>
  <c r="N141" i="5" s="1"/>
  <c r="M135" i="5"/>
  <c r="N135" i="5" s="1"/>
  <c r="K133" i="5"/>
  <c r="J133" i="5"/>
  <c r="H131" i="5"/>
  <c r="H130" i="5"/>
  <c r="H129" i="5"/>
  <c r="K127" i="5"/>
  <c r="J127" i="5"/>
  <c r="H125" i="5"/>
  <c r="H124" i="5"/>
  <c r="H123" i="5"/>
  <c r="K121" i="5"/>
  <c r="J121" i="5"/>
  <c r="H119" i="5"/>
  <c r="H117" i="5"/>
  <c r="M111" i="5"/>
  <c r="N111" i="5" s="1"/>
  <c r="M105" i="5"/>
  <c r="N105" i="5" s="1"/>
  <c r="M99" i="5"/>
  <c r="N99" i="5" s="1"/>
  <c r="M93" i="5"/>
  <c r="N93" i="5" s="1"/>
  <c r="M87" i="5"/>
  <c r="N87" i="5" s="1"/>
  <c r="H55" i="5"/>
  <c r="H54" i="5"/>
  <c r="H53" i="5"/>
  <c r="M81" i="5"/>
  <c r="N81" i="5" s="1"/>
  <c r="H77" i="5"/>
  <c r="H76" i="5"/>
  <c r="H75" i="5"/>
  <c r="M69" i="5"/>
  <c r="J153" i="5"/>
  <c r="H392" i="5"/>
  <c r="H394" i="5"/>
  <c r="H393" i="5"/>
  <c r="K423" i="5"/>
  <c r="K407" i="5"/>
  <c r="K395" i="5"/>
  <c r="K385" i="5"/>
  <c r="K379" i="5"/>
  <c r="K373" i="5"/>
  <c r="K367" i="5"/>
  <c r="K361" i="5"/>
  <c r="K355" i="5"/>
  <c r="K349" i="5"/>
  <c r="K343" i="5"/>
  <c r="K337" i="5"/>
  <c r="K331" i="5"/>
  <c r="K325" i="5"/>
  <c r="K319" i="5"/>
  <c r="K313" i="5"/>
  <c r="K307" i="5"/>
  <c r="K301" i="5"/>
  <c r="K295" i="5"/>
  <c r="K289" i="5"/>
  <c r="K283" i="5"/>
  <c r="K273" i="5"/>
  <c r="K267" i="5"/>
  <c r="K261" i="5"/>
  <c r="K255" i="5"/>
  <c r="K249" i="5"/>
  <c r="K243" i="5"/>
  <c r="K237" i="5"/>
  <c r="K231" i="5"/>
  <c r="K225" i="5"/>
  <c r="K219" i="5"/>
  <c r="K213" i="5"/>
  <c r="K207" i="5"/>
  <c r="K201" i="5"/>
  <c r="K195" i="5"/>
  <c r="K189" i="5"/>
  <c r="K183" i="5"/>
  <c r="K177" i="5"/>
  <c r="K171" i="5"/>
  <c r="K165" i="5"/>
  <c r="K159" i="5"/>
  <c r="K153" i="5"/>
  <c r="K147" i="5"/>
  <c r="K141" i="5"/>
  <c r="K135" i="5"/>
  <c r="K111" i="5"/>
  <c r="K99" i="5"/>
  <c r="K93" i="5"/>
  <c r="K87" i="5"/>
  <c r="K81" i="5"/>
  <c r="K69" i="5"/>
  <c r="K59" i="5"/>
  <c r="H49" i="5"/>
  <c r="H473" i="5" s="1"/>
  <c r="H43" i="5"/>
  <c r="H60" i="5"/>
  <c r="J60" i="5"/>
  <c r="J66" i="5" s="1"/>
  <c r="K60" i="5"/>
  <c r="L60" i="5"/>
  <c r="M60" i="5"/>
  <c r="N60" i="5"/>
  <c r="H81" i="5" l="1"/>
  <c r="N407" i="5"/>
  <c r="N69" i="5"/>
  <c r="H73" i="5"/>
  <c r="M73" i="5"/>
  <c r="H61" i="5"/>
  <c r="H62" i="5" s="1"/>
  <c r="L59" i="5"/>
  <c r="H391" i="5"/>
  <c r="J61" i="5"/>
  <c r="J67" i="5" s="1"/>
  <c r="K61" i="5"/>
  <c r="K67" i="5" s="1"/>
  <c r="N66" i="5"/>
  <c r="M66" i="5"/>
  <c r="L66" i="5"/>
  <c r="K66" i="5"/>
  <c r="H425" i="5"/>
  <c r="J407" i="5"/>
  <c r="H475" i="5" l="1"/>
  <c r="H21" i="5"/>
  <c r="M59" i="5"/>
  <c r="H74" i="5"/>
  <c r="N73" i="5"/>
  <c r="L61" i="5"/>
  <c r="L67" i="5" s="1"/>
  <c r="H13" i="5"/>
  <c r="H20" i="5"/>
  <c r="H19" i="5"/>
  <c r="H37" i="5"/>
  <c r="H39" i="5"/>
  <c r="L370" i="5"/>
  <c r="M370" i="5"/>
  <c r="N370" i="5"/>
  <c r="K370" i="5"/>
  <c r="L376" i="5"/>
  <c r="M376" i="5"/>
  <c r="N376" i="5"/>
  <c r="K376" i="5"/>
  <c r="L384" i="5"/>
  <c r="M384" i="5"/>
  <c r="N384" i="5"/>
  <c r="K384" i="5"/>
  <c r="K388" i="5"/>
  <c r="L398" i="5"/>
  <c r="K398" i="5"/>
  <c r="H409" i="5"/>
  <c r="H408" i="5"/>
  <c r="H412" i="5"/>
  <c r="H411" i="5"/>
  <c r="H410" i="5"/>
  <c r="N398" i="5"/>
  <c r="M398" i="5"/>
  <c r="H400" i="5"/>
  <c r="H399" i="5"/>
  <c r="H398" i="5"/>
  <c r="H397" i="5"/>
  <c r="H396" i="5"/>
  <c r="N388" i="5"/>
  <c r="M388" i="5"/>
  <c r="L388" i="5"/>
  <c r="H390" i="5"/>
  <c r="H389" i="5"/>
  <c r="H388" i="5"/>
  <c r="H387" i="5"/>
  <c r="H386" i="5"/>
  <c r="H384" i="5"/>
  <c r="H383" i="5"/>
  <c r="H382" i="5"/>
  <c r="H381" i="5"/>
  <c r="H380" i="5"/>
  <c r="H378" i="5"/>
  <c r="H377" i="5"/>
  <c r="H376" i="5"/>
  <c r="H375" i="5"/>
  <c r="H374" i="5"/>
  <c r="H372" i="5"/>
  <c r="H371" i="5"/>
  <c r="H370" i="5"/>
  <c r="H369" i="5"/>
  <c r="H368" i="5"/>
  <c r="H366" i="5"/>
  <c r="H365" i="5"/>
  <c r="H364" i="5"/>
  <c r="H363" i="5"/>
  <c r="H357" i="5"/>
  <c r="H360" i="5"/>
  <c r="H359" i="5"/>
  <c r="H358" i="5"/>
  <c r="H354" i="5"/>
  <c r="H353" i="5"/>
  <c r="H352" i="5"/>
  <c r="H351" i="5"/>
  <c r="H348" i="5"/>
  <c r="H347" i="5"/>
  <c r="H346" i="5"/>
  <c r="H345" i="5"/>
  <c r="H342" i="5"/>
  <c r="H341" i="5"/>
  <c r="H340" i="5"/>
  <c r="H339" i="5"/>
  <c r="H336" i="5"/>
  <c r="H335" i="5"/>
  <c r="H334" i="5"/>
  <c r="H333" i="5"/>
  <c r="H330" i="5"/>
  <c r="H329" i="5"/>
  <c r="H328" i="5"/>
  <c r="H327" i="5"/>
  <c r="H324" i="5"/>
  <c r="H323" i="5"/>
  <c r="H322" i="5"/>
  <c r="H321" i="5"/>
  <c r="H318" i="5"/>
  <c r="H317" i="5"/>
  <c r="H316" i="5"/>
  <c r="H315" i="5"/>
  <c r="H312" i="5"/>
  <c r="H311" i="5"/>
  <c r="H310" i="5"/>
  <c r="H309" i="5"/>
  <c r="H306" i="5"/>
  <c r="H305" i="5"/>
  <c r="H304" i="5"/>
  <c r="H303" i="5"/>
  <c r="H300" i="5"/>
  <c r="H299" i="5"/>
  <c r="H298" i="5"/>
  <c r="H297" i="5"/>
  <c r="H294" i="5"/>
  <c r="H293" i="5"/>
  <c r="H292" i="5"/>
  <c r="H291" i="5"/>
  <c r="H288" i="5"/>
  <c r="H287" i="5"/>
  <c r="H286" i="5"/>
  <c r="H285" i="5"/>
  <c r="H278" i="5"/>
  <c r="H277" i="5"/>
  <c r="H276" i="5"/>
  <c r="H275" i="5"/>
  <c r="H272" i="5"/>
  <c r="H271" i="5"/>
  <c r="H270" i="5"/>
  <c r="H269" i="5"/>
  <c r="H266" i="5"/>
  <c r="H265" i="5"/>
  <c r="H264" i="5"/>
  <c r="H263" i="5"/>
  <c r="H260" i="5"/>
  <c r="H259" i="5"/>
  <c r="H258" i="5"/>
  <c r="H257" i="5"/>
  <c r="H254" i="5"/>
  <c r="H253" i="5"/>
  <c r="H252" i="5"/>
  <c r="H251" i="5"/>
  <c r="H248" i="5"/>
  <c r="H247" i="5"/>
  <c r="H246" i="5"/>
  <c r="H245" i="5"/>
  <c r="J247" i="5"/>
  <c r="K247" i="5"/>
  <c r="L247" i="5"/>
  <c r="M247" i="5"/>
  <c r="N247" i="5"/>
  <c r="H244" i="5"/>
  <c r="H242" i="5"/>
  <c r="H241" i="5"/>
  <c r="H240" i="5"/>
  <c r="H239" i="5"/>
  <c r="H236" i="5"/>
  <c r="H235" i="5"/>
  <c r="H234" i="5"/>
  <c r="H233" i="5"/>
  <c r="H230" i="5"/>
  <c r="H229" i="5"/>
  <c r="H228" i="5"/>
  <c r="H227" i="5"/>
  <c r="H224" i="5"/>
  <c r="H223" i="5"/>
  <c r="H222" i="5"/>
  <c r="H221" i="5"/>
  <c r="H217" i="5"/>
  <c r="H216" i="5"/>
  <c r="H215" i="5"/>
  <c r="H212" i="5"/>
  <c r="H211" i="5"/>
  <c r="H210" i="5"/>
  <c r="H209" i="5"/>
  <c r="H206" i="5"/>
  <c r="H205" i="5"/>
  <c r="H204" i="5"/>
  <c r="H203" i="5"/>
  <c r="H200" i="5"/>
  <c r="H199" i="5"/>
  <c r="H198" i="5"/>
  <c r="H197" i="5"/>
  <c r="H194" i="5"/>
  <c r="H193" i="5"/>
  <c r="H192" i="5"/>
  <c r="H191" i="5"/>
  <c r="H188" i="5"/>
  <c r="H187" i="5"/>
  <c r="H186" i="5"/>
  <c r="H185" i="5"/>
  <c r="H182" i="5"/>
  <c r="H181" i="5"/>
  <c r="H180" i="5"/>
  <c r="H179" i="5"/>
  <c r="H176" i="5"/>
  <c r="H175" i="5"/>
  <c r="H174" i="5"/>
  <c r="H173" i="5"/>
  <c r="H170" i="5"/>
  <c r="H169" i="5"/>
  <c r="H168" i="5"/>
  <c r="H167" i="5"/>
  <c r="H164" i="5"/>
  <c r="H163" i="5"/>
  <c r="H162" i="5"/>
  <c r="H161" i="5"/>
  <c r="H158" i="5"/>
  <c r="H157" i="5"/>
  <c r="H156" i="5"/>
  <c r="H155" i="5"/>
  <c r="H152" i="5"/>
  <c r="H151" i="5"/>
  <c r="H150" i="5"/>
  <c r="H149" i="5"/>
  <c r="H146" i="5"/>
  <c r="H145" i="5"/>
  <c r="H144" i="5"/>
  <c r="H143" i="5"/>
  <c r="H140" i="5"/>
  <c r="H139" i="5"/>
  <c r="H138" i="5"/>
  <c r="H137" i="5"/>
  <c r="H136" i="5"/>
  <c r="H116" i="5"/>
  <c r="H115" i="5"/>
  <c r="H114" i="5"/>
  <c r="H113" i="5"/>
  <c r="H110" i="5"/>
  <c r="H109" i="5"/>
  <c r="H108" i="5"/>
  <c r="H107" i="5"/>
  <c r="H104" i="5"/>
  <c r="H103" i="5"/>
  <c r="H102" i="5"/>
  <c r="H101" i="5"/>
  <c r="H98" i="5"/>
  <c r="H97" i="5"/>
  <c r="H96" i="5"/>
  <c r="H95" i="5"/>
  <c r="H92" i="5"/>
  <c r="H91" i="5"/>
  <c r="H90" i="5"/>
  <c r="H89" i="5"/>
  <c r="H86" i="5"/>
  <c r="H85" i="5"/>
  <c r="H84" i="5"/>
  <c r="H83" i="5"/>
  <c r="H71" i="5"/>
  <c r="J35" i="5"/>
  <c r="H35" i="5" s="1"/>
  <c r="H468" i="5" l="1"/>
  <c r="H29" i="5"/>
  <c r="N59" i="5"/>
  <c r="H63" i="5"/>
  <c r="M61" i="5"/>
  <c r="M67" i="5" s="1"/>
  <c r="H243" i="5"/>
  <c r="H395" i="5"/>
  <c r="H367" i="5"/>
  <c r="H379" i="5"/>
  <c r="H385" i="5"/>
  <c r="H373" i="5"/>
  <c r="H407" i="5"/>
  <c r="H135" i="5"/>
  <c r="H41" i="5"/>
  <c r="J40" i="5"/>
  <c r="H36" i="5"/>
  <c r="M20" i="5"/>
  <c r="L20" i="5"/>
  <c r="K20" i="5"/>
  <c r="J17" i="5"/>
  <c r="H17" i="5" s="1"/>
  <c r="H18" i="5"/>
  <c r="H23" i="5"/>
  <c r="H16" i="5"/>
  <c r="H15" i="5"/>
  <c r="H14" i="5"/>
  <c r="H469" i="5" s="1"/>
  <c r="M409" i="5"/>
  <c r="M397" i="5"/>
  <c r="M387" i="5"/>
  <c r="M382" i="5"/>
  <c r="M375" i="5"/>
  <c r="M369" i="5"/>
  <c r="M365" i="5"/>
  <c r="M357" i="5"/>
  <c r="M351" i="5"/>
  <c r="M345" i="5"/>
  <c r="M341" i="5"/>
  <c r="M335" i="5"/>
  <c r="M334" i="5"/>
  <c r="M329" i="5"/>
  <c r="M328" i="5"/>
  <c r="M323" i="5"/>
  <c r="M322" i="5"/>
  <c r="M317" i="5"/>
  <c r="M309" i="5"/>
  <c r="M305" i="5"/>
  <c r="M299" i="5"/>
  <c r="M293" i="5"/>
  <c r="M285" i="5"/>
  <c r="M281" i="5"/>
  <c r="M277" i="5"/>
  <c r="M271" i="5"/>
  <c r="M265" i="5"/>
  <c r="M259" i="5"/>
  <c r="M258" i="5"/>
  <c r="M253" i="5"/>
  <c r="M240" i="5"/>
  <c r="M233" i="5"/>
  <c r="M229" i="5"/>
  <c r="M228" i="5"/>
  <c r="M223" i="5"/>
  <c r="M215" i="5"/>
  <c r="M209" i="5"/>
  <c r="M205" i="5"/>
  <c r="M199" i="5"/>
  <c r="M191" i="5"/>
  <c r="M187" i="5"/>
  <c r="M181" i="5"/>
  <c r="M175" i="5"/>
  <c r="M169" i="5"/>
  <c r="M161" i="5"/>
  <c r="M157" i="5"/>
  <c r="M151" i="5"/>
  <c r="M145" i="5"/>
  <c r="M139" i="5"/>
  <c r="M137" i="5"/>
  <c r="M115" i="5"/>
  <c r="M109" i="5"/>
  <c r="M108" i="5"/>
  <c r="M103" i="5"/>
  <c r="M97" i="5"/>
  <c r="M89" i="5"/>
  <c r="M85" i="5"/>
  <c r="M84" i="5"/>
  <c r="M13" i="5"/>
  <c r="L409" i="5"/>
  <c r="L397" i="5"/>
  <c r="L387" i="5"/>
  <c r="L382" i="5"/>
  <c r="L375" i="5"/>
  <c r="L369" i="5"/>
  <c r="L365" i="5"/>
  <c r="L357" i="5"/>
  <c r="L351" i="5"/>
  <c r="L345" i="5"/>
  <c r="L341" i="5"/>
  <c r="L335" i="5"/>
  <c r="L334" i="5"/>
  <c r="L329" i="5"/>
  <c r="L328" i="5"/>
  <c r="L323" i="5"/>
  <c r="L322" i="5"/>
  <c r="L317" i="5"/>
  <c r="L309" i="5"/>
  <c r="L305" i="5"/>
  <c r="L299" i="5"/>
  <c r="L293" i="5"/>
  <c r="L285" i="5"/>
  <c r="L281" i="5"/>
  <c r="L277" i="5"/>
  <c r="L271" i="5"/>
  <c r="L265" i="5"/>
  <c r="L259" i="5"/>
  <c r="L258" i="5"/>
  <c r="L253" i="5"/>
  <c r="L229" i="5"/>
  <c r="L228" i="5"/>
  <c r="L223" i="5"/>
  <c r="L215" i="5"/>
  <c r="L209" i="5"/>
  <c r="L205" i="5"/>
  <c r="L199" i="5"/>
  <c r="L191" i="5"/>
  <c r="L187" i="5"/>
  <c r="L181" i="5"/>
  <c r="L175" i="5"/>
  <c r="L169" i="5"/>
  <c r="L161" i="5"/>
  <c r="L157" i="5"/>
  <c r="L151" i="5"/>
  <c r="L145" i="5"/>
  <c r="L139" i="5"/>
  <c r="L137" i="5"/>
  <c r="L115" i="5"/>
  <c r="L109" i="5"/>
  <c r="L108" i="5"/>
  <c r="L103" i="5"/>
  <c r="L97" i="5"/>
  <c r="L89" i="5"/>
  <c r="L85" i="5"/>
  <c r="L84" i="5"/>
  <c r="L13" i="5"/>
  <c r="K409" i="5"/>
  <c r="K397" i="5"/>
  <c r="K387" i="5"/>
  <c r="K382" i="5"/>
  <c r="K375" i="5"/>
  <c r="K369" i="5"/>
  <c r="K365" i="5"/>
  <c r="K357" i="5"/>
  <c r="K351" i="5"/>
  <c r="K345" i="5"/>
  <c r="K341" i="5"/>
  <c r="K335" i="5"/>
  <c r="K334" i="5"/>
  <c r="K329" i="5"/>
  <c r="K328" i="5"/>
  <c r="K323" i="5"/>
  <c r="K322" i="5"/>
  <c r="K317" i="5"/>
  <c r="K309" i="5"/>
  <c r="K305" i="5"/>
  <c r="K299" i="5"/>
  <c r="K293" i="5"/>
  <c r="K285" i="5"/>
  <c r="K281" i="5"/>
  <c r="K277" i="5"/>
  <c r="K271" i="5"/>
  <c r="K265" i="5"/>
  <c r="K259" i="5"/>
  <c r="K258" i="5"/>
  <c r="K253" i="5"/>
  <c r="K240" i="5"/>
  <c r="K233" i="5"/>
  <c r="K229" i="5"/>
  <c r="K228" i="5"/>
  <c r="K223" i="5"/>
  <c r="K215" i="5"/>
  <c r="K209" i="5"/>
  <c r="K205" i="5"/>
  <c r="K199" i="5"/>
  <c r="K191" i="5"/>
  <c r="K184" i="5"/>
  <c r="K187" i="5" s="1"/>
  <c r="K178" i="5"/>
  <c r="K181" i="5" s="1"/>
  <c r="K175" i="5"/>
  <c r="K169" i="5"/>
  <c r="K161" i="5"/>
  <c r="K157" i="5"/>
  <c r="K151" i="5"/>
  <c r="K145" i="5"/>
  <c r="K139" i="5"/>
  <c r="K137" i="5"/>
  <c r="K115" i="5"/>
  <c r="K109" i="5"/>
  <c r="K108" i="5"/>
  <c r="K103" i="5"/>
  <c r="K97" i="5"/>
  <c r="K89" i="5"/>
  <c r="K85" i="5"/>
  <c r="K84" i="5"/>
  <c r="K73" i="5"/>
  <c r="K13" i="5"/>
  <c r="H470" i="5" l="1"/>
  <c r="H461" i="5"/>
  <c r="H22" i="5"/>
  <c r="J20" i="5"/>
  <c r="H64" i="5"/>
  <c r="H59" i="5" s="1"/>
  <c r="N61" i="5"/>
  <c r="N67" i="5" s="1"/>
  <c r="H47" i="5"/>
  <c r="M40" i="5" l="1"/>
  <c r="K40" i="5"/>
  <c r="L40" i="5"/>
  <c r="H424" i="5"/>
  <c r="N409" i="5"/>
  <c r="J409" i="5"/>
  <c r="N397" i="5"/>
  <c r="J397" i="5"/>
  <c r="J387" i="5"/>
  <c r="N382" i="5"/>
  <c r="J382" i="5"/>
  <c r="N375" i="5"/>
  <c r="J375" i="5"/>
  <c r="N369" i="5"/>
  <c r="J369" i="5"/>
  <c r="N365" i="5"/>
  <c r="J365" i="5"/>
  <c r="H362" i="5"/>
  <c r="H361" i="5" s="1"/>
  <c r="N357" i="5"/>
  <c r="J357" i="5"/>
  <c r="H356" i="5"/>
  <c r="H355" i="5" s="1"/>
  <c r="N351" i="5"/>
  <c r="J351" i="5"/>
  <c r="H350" i="5"/>
  <c r="H349" i="5" s="1"/>
  <c r="N345" i="5"/>
  <c r="J345" i="5"/>
  <c r="H344" i="5"/>
  <c r="H343" i="5" s="1"/>
  <c r="N341" i="5"/>
  <c r="J341" i="5"/>
  <c r="H338" i="5"/>
  <c r="H337" i="5" s="1"/>
  <c r="N335" i="5"/>
  <c r="J335" i="5"/>
  <c r="N334" i="5"/>
  <c r="J334" i="5"/>
  <c r="H332" i="5"/>
  <c r="H331" i="5" s="1"/>
  <c r="N329" i="5"/>
  <c r="J329" i="5"/>
  <c r="N328" i="5"/>
  <c r="J328" i="5"/>
  <c r="H326" i="5"/>
  <c r="H325" i="5" s="1"/>
  <c r="N323" i="5"/>
  <c r="J323" i="5"/>
  <c r="N322" i="5"/>
  <c r="J322" i="5"/>
  <c r="H320" i="5"/>
  <c r="H319" i="5" s="1"/>
  <c r="N317" i="5"/>
  <c r="J317" i="5"/>
  <c r="H314" i="5"/>
  <c r="H313" i="5" s="1"/>
  <c r="N309" i="5"/>
  <c r="J309" i="5"/>
  <c r="H308" i="5"/>
  <c r="H307" i="5" s="1"/>
  <c r="N305" i="5"/>
  <c r="J305" i="5"/>
  <c r="H302" i="5"/>
  <c r="H301" i="5" s="1"/>
  <c r="N299" i="5"/>
  <c r="J299" i="5"/>
  <c r="H296" i="5"/>
  <c r="H295" i="5" s="1"/>
  <c r="N293" i="5"/>
  <c r="J293" i="5"/>
  <c r="H290" i="5"/>
  <c r="H289" i="5" s="1"/>
  <c r="N285" i="5"/>
  <c r="J285" i="5"/>
  <c r="H284" i="5"/>
  <c r="H283" i="5" s="1"/>
  <c r="N281" i="5"/>
  <c r="J281" i="5"/>
  <c r="N277" i="5"/>
  <c r="J276" i="5"/>
  <c r="J277" i="5" s="1"/>
  <c r="H274" i="5"/>
  <c r="H273" i="5" s="1"/>
  <c r="N271" i="5"/>
  <c r="J271" i="5"/>
  <c r="H268" i="5"/>
  <c r="H267" i="5" s="1"/>
  <c r="N265" i="5"/>
  <c r="J265" i="5"/>
  <c r="H262" i="5"/>
  <c r="H261" i="5" s="1"/>
  <c r="N259" i="5"/>
  <c r="J259" i="5"/>
  <c r="N258" i="5"/>
  <c r="J258" i="5"/>
  <c r="H256" i="5"/>
  <c r="H255" i="5" s="1"/>
  <c r="N253" i="5"/>
  <c r="J253" i="5"/>
  <c r="H250" i="5"/>
  <c r="H249" i="5" s="1"/>
  <c r="N240" i="5"/>
  <c r="J240" i="5"/>
  <c r="H238" i="5"/>
  <c r="H237" i="5" s="1"/>
  <c r="N233" i="5"/>
  <c r="J233" i="5"/>
  <c r="H232" i="5"/>
  <c r="H231" i="5" s="1"/>
  <c r="N229" i="5"/>
  <c r="J229" i="5"/>
  <c r="N228" i="5"/>
  <c r="H226" i="5"/>
  <c r="H225" i="5" s="1"/>
  <c r="N223" i="5"/>
  <c r="J223" i="5"/>
  <c r="H220" i="5"/>
  <c r="H219" i="5" s="1"/>
  <c r="N215" i="5"/>
  <c r="J215" i="5"/>
  <c r="H214" i="5"/>
  <c r="H213" i="5" s="1"/>
  <c r="N209" i="5"/>
  <c r="J209" i="5"/>
  <c r="H208" i="5"/>
  <c r="H207" i="5" s="1"/>
  <c r="N205" i="5"/>
  <c r="J205" i="5"/>
  <c r="H202" i="5"/>
  <c r="H201" i="5" s="1"/>
  <c r="N199" i="5"/>
  <c r="J199" i="5"/>
  <c r="H196" i="5"/>
  <c r="H195" i="5" s="1"/>
  <c r="N191" i="5"/>
  <c r="J191" i="5"/>
  <c r="H190" i="5"/>
  <c r="H189" i="5" s="1"/>
  <c r="N187" i="5"/>
  <c r="J184" i="5"/>
  <c r="J187" i="5" s="1"/>
  <c r="H184" i="5"/>
  <c r="H183" i="5" s="1"/>
  <c r="J180" i="5"/>
  <c r="J178" i="5" s="1"/>
  <c r="J181" i="5" s="1"/>
  <c r="N181" i="5"/>
  <c r="H178" i="5"/>
  <c r="H177" i="5" s="1"/>
  <c r="N175" i="5"/>
  <c r="J175" i="5"/>
  <c r="H172" i="5"/>
  <c r="H171" i="5" s="1"/>
  <c r="N169" i="5"/>
  <c r="J169" i="5"/>
  <c r="H166" i="5"/>
  <c r="H165" i="5" s="1"/>
  <c r="N161" i="5"/>
  <c r="J161" i="5"/>
  <c r="H160" i="5"/>
  <c r="H159" i="5" s="1"/>
  <c r="N157" i="5"/>
  <c r="J157" i="5"/>
  <c r="H154" i="5"/>
  <c r="H153" i="5" s="1"/>
  <c r="N151" i="5"/>
  <c r="J151" i="5"/>
  <c r="H148" i="5"/>
  <c r="H147" i="5" s="1"/>
  <c r="N145" i="5"/>
  <c r="J145" i="5"/>
  <c r="H142" i="5"/>
  <c r="H141" i="5" s="1"/>
  <c r="N139" i="5"/>
  <c r="J139" i="5"/>
  <c r="N137" i="5"/>
  <c r="J137" i="5"/>
  <c r="N115" i="5"/>
  <c r="J115" i="5"/>
  <c r="H112" i="5"/>
  <c r="H111" i="5" s="1"/>
  <c r="N109" i="5"/>
  <c r="J109" i="5"/>
  <c r="N108" i="5"/>
  <c r="J108" i="5"/>
  <c r="H106" i="5"/>
  <c r="H105" i="5" s="1"/>
  <c r="N103" i="5"/>
  <c r="J103" i="5"/>
  <c r="J102" i="5"/>
  <c r="H100" i="5"/>
  <c r="H99" i="5" s="1"/>
  <c r="N97" i="5"/>
  <c r="J97" i="5"/>
  <c r="J96" i="5"/>
  <c r="H94" i="5"/>
  <c r="H93" i="5" s="1"/>
  <c r="N89" i="5"/>
  <c r="J89" i="5"/>
  <c r="H88" i="5"/>
  <c r="H87" i="5" s="1"/>
  <c r="N85" i="5"/>
  <c r="J85" i="5"/>
  <c r="N84" i="5"/>
  <c r="J84" i="5"/>
  <c r="H82" i="5"/>
  <c r="J73" i="5"/>
  <c r="H70" i="5"/>
  <c r="H69" i="5" s="1"/>
  <c r="N40" i="5"/>
  <c r="N20" i="5"/>
  <c r="N13" i="5"/>
  <c r="J13" i="5"/>
  <c r="H12" i="5"/>
  <c r="H467" i="5" l="1"/>
  <c r="H423" i="5"/>
  <c r="H11" i="5"/>
  <c r="H477" i="5" l="1"/>
  <c r="H22" i="2"/>
  <c r="H14" i="2"/>
  <c r="H20" i="2" s="1"/>
  <c r="H15" i="2"/>
  <c r="H21" i="2" s="1"/>
  <c r="L13" i="2"/>
  <c r="M13" i="2"/>
  <c r="N13" i="2"/>
  <c r="K13" i="2"/>
  <c r="H12" i="2"/>
  <c r="H9" i="2"/>
  <c r="H11" i="2" s="1"/>
  <c r="H13" i="2" l="1"/>
</calcChain>
</file>

<file path=xl/sharedStrings.xml><?xml version="1.0" encoding="utf-8"?>
<sst xmlns="http://schemas.openxmlformats.org/spreadsheetml/2006/main" count="1238" uniqueCount="285">
  <si>
    <t>Перелік завдань і заходів</t>
  </si>
  <si>
    <t>Завдання програми</t>
  </si>
  <si>
    <t>Заходи програми</t>
  </si>
  <si>
    <t>Джерела фінансування</t>
  </si>
  <si>
    <t>Назва показника</t>
  </si>
  <si>
    <t>2024 рік</t>
  </si>
  <si>
    <t>2025 рік</t>
  </si>
  <si>
    <t>2024 - 2025</t>
  </si>
  <si>
    <t>Бюджет міста Києва</t>
  </si>
  <si>
    <t>Всього</t>
  </si>
  <si>
    <t>показник ефективності: середні витрати на 1 пацієнта, тис. грн.</t>
  </si>
  <si>
    <t>показник витрат: обсяг видатків, тис.грн.</t>
  </si>
  <si>
    <t>показник продукту: кількість хворих, які забезпечені засобами догляду за стомою, осіб</t>
  </si>
  <si>
    <t>показник ефективності: вартість одного дослідження, тис. грн</t>
  </si>
  <si>
    <t>показник продукту:</t>
  </si>
  <si>
    <t xml:space="preserve"> - чоловіків, осіб</t>
  </si>
  <si>
    <t xml:space="preserve"> - жінок, осіб</t>
  </si>
  <si>
    <t>показник ефективності: середні витрати на один заклад, тис.грн</t>
  </si>
  <si>
    <t>показник продукту: кількість машино/годин</t>
  </si>
  <si>
    <t>показник ефективності: середні витрати на одну машино/годину, грн.</t>
  </si>
  <si>
    <t>показник продукту: кількість об'єктів будівництва, реконструкції та реставрації, одиниць</t>
  </si>
  <si>
    <t>показник ефективності: середні витрати на одного пацієнта, тис. грн.</t>
  </si>
  <si>
    <t>показник ефективності: середні витрати на одне оперативне втручання, грн.</t>
  </si>
  <si>
    <t xml:space="preserve"> -чоловіків</t>
  </si>
  <si>
    <t xml:space="preserve"> -жінок</t>
  </si>
  <si>
    <t>кількість заготовленої крові та її компонентів, донацій, в тому числі:</t>
  </si>
  <si>
    <t>кількість виготовлених вірусінактивованих та кріоконсервованих компонентів крові, доз, в тому числі:</t>
  </si>
  <si>
    <t>показник продукту: кількість дітей до 2-х років, які забезпечені пільговим харчуванням, осіб</t>
  </si>
  <si>
    <t>показник продукту: кількість хворих на ідіопатичну тромбоцитопенічну пурпуру, які забезпечені лікарськими засобами, осіб</t>
  </si>
  <si>
    <t xml:space="preserve"> - медичними виробами до приладів для постійної інфузії інсуліну (інсулінових помп), осіб</t>
  </si>
  <si>
    <t xml:space="preserve"> - забезпечення приладами для постійної інфузії інсуліну (інсуліновими помпами), тис. грн.</t>
  </si>
  <si>
    <t xml:space="preserve"> - забезпечення медчиними виробами до приладів для постійної інфузії інсуліну (за комісійним висновком), тис. грн.</t>
  </si>
  <si>
    <t>2.7. Забезпечення лікарськими засобами хворих на муковісцидоз</t>
  </si>
  <si>
    <t>2.8. Забезпечення лікувальним харчуванням хворих на муковісцидоз</t>
  </si>
  <si>
    <t xml:space="preserve">2.9. Забезпечення лікувальним харчуванням хворих на фенілкетонурію </t>
  </si>
  <si>
    <t>2.10. Забезпечення лікарськими засобами хворих на ювенільний ревматоїдний артрит</t>
  </si>
  <si>
    <t>2.11. Забезпечення лікарськими засобами хворих на хворобу Стілла</t>
  </si>
  <si>
    <t>2.12. Забезпечення лікарськими засобами хворих на системну склеродермію</t>
  </si>
  <si>
    <t>2.13. Забезпечення лікарськими засобами хворих на системні васкуліти</t>
  </si>
  <si>
    <t>2.14. Забезпечення лікарськими засобами хворих на спондилоартрити</t>
  </si>
  <si>
    <t>2.18. Забезпечення лікарськими засобами хворих на мукополісахаридоз</t>
  </si>
  <si>
    <t>2.19. Забезпечення медичними виробами хворих на бульозний епідермоліз</t>
  </si>
  <si>
    <t>2.20. Забезпечення лікувальним харчуванням хворих на бульозний епідермоліз</t>
  </si>
  <si>
    <t>2.44. Забезпечення слуховими апаратами пацієнтів із вродженою або набутою туговухістю</t>
  </si>
  <si>
    <t>2.53. Забезпечення хворих засобами догляду за стомою</t>
  </si>
  <si>
    <t>2.30. Забезпечення лікарськими засобами хворих на ідіопатичну тромбоцитопенічну пурпуру</t>
  </si>
  <si>
    <t>2.31. Забезпечення лікарськими засобами проведення замісної терапії хворим на коагулопатію</t>
  </si>
  <si>
    <t>2.35. Забезпечення хіміопрепаратами та супроводжуючою терапією хворих з онкогематологічною патологією</t>
  </si>
  <si>
    <t xml:space="preserve"> - на забезпечення пацієнтів приладами для постійної інфузії інсуліну (інсуліновими помпами), тис. грн.</t>
  </si>
  <si>
    <t xml:space="preserve"> - на забезпечення пацієнтів медичними виробами до приладів для постійної інфузії інсуліну (інсуліновими помпами), тис. грн.</t>
  </si>
  <si>
    <t>показник продукту: кількість пацієнтів, які забезпечені медичними виробами проведення вимірювання глікованого гемоглобіну, осіб</t>
  </si>
  <si>
    <t>показник продукту: кількість пацієнтів, з вродженою або набутою туговухістю, що забезпечені слуховими апаратами, осіб</t>
  </si>
  <si>
    <t xml:space="preserve"> - дівчаток, осіб</t>
  </si>
  <si>
    <t xml:space="preserve"> - хлопчиків, осіб</t>
  </si>
  <si>
    <t>2.45. Забезпечення кохлеарними імплантами пацієнтів, які мають вади слуху за медичними показами</t>
  </si>
  <si>
    <t xml:space="preserve">2.55. Забезпечення дітей до 2-х років пільговим харчуванням в рамках виконання постанови КМ України від 8 лютого 1994 р. № 66 </t>
  </si>
  <si>
    <t>Строки виконання заходу</t>
  </si>
  <si>
    <t>Виконавці заходу</t>
  </si>
  <si>
    <t>Очікуваний результат (результативні показники)</t>
  </si>
  <si>
    <t>Департамент охорони здоров'я, заклади охорони здоров'я, що засновані на комунальній власності територіальної громади м. Києва</t>
  </si>
  <si>
    <t>показник продукту: кількість пацієнтів дитячого віку, хворих на цукровий діабет, які забезпечені препаратами глюкагону для невідкладної терапії гіпоглікемій, осіб</t>
  </si>
  <si>
    <t>2.5. Забезпечення препаратами гормону росту пацієнтів дитячого віку, хворих на гіпофізарний нанізм та нанізм різного походження</t>
  </si>
  <si>
    <t>показник витрат: обсяг видатків, тис. грн.</t>
  </si>
  <si>
    <t>показник витрат: обсяг видатків, тис .грн.</t>
  </si>
  <si>
    <t>2.1. Забезпечення пацієнтів дитячого віку, хворих на цукровий діабет, препаратами глюкагону для невідкладної терапії гіпоглікемій</t>
  </si>
  <si>
    <t>2.2. Забезпечення пацієнтів дитячого віку з лабільним перебігом цукрового діабету приладами для постійної інфузії інсуліну (інсуліновими помпами) та медичними виробами до приладів для постійної інфузії інсуліну (за комісійним висновком)</t>
  </si>
  <si>
    <t xml:space="preserve"> - приладами для постійної інфузії інсуліну (інсуліновими помпами), осіб</t>
  </si>
  <si>
    <t>2.3. Забезпечення медичними виробами проведення вимірювання глікованого гемоглобіну у хворих на цукровий діабет</t>
  </si>
  <si>
    <t>2.4. Забезпечення пацієнтів дитячого віку з передчасним статевим розвитком аналогами гонадотропін-рилізинг гормону</t>
  </si>
  <si>
    <t xml:space="preserve">2.6. Забезпечення лікарськими засобами хворих з акромегалією </t>
  </si>
  <si>
    <t>показник продукту: кількість хворих на муковізцидос, що отримали лікувальне харчування, осіб, в т.ч.:</t>
  </si>
  <si>
    <t>2.15. Забезпечення лікарськими засобами хворих на спінально - м'язову атрофію (за комісійним висновком)</t>
  </si>
  <si>
    <t>2.16. Забезпечення лікувальним харчуванням хворих на спінально - м'язову атрофію (за комісійним висновком)</t>
  </si>
  <si>
    <t>2.17. Забезпечення лікарськими засобами пацієнтів з хворобою Гоше</t>
  </si>
  <si>
    <t>показник продукту: кількість пацієнтів з хворобою Гоше, які забезпечені лікарськими засобами, осіб</t>
  </si>
  <si>
    <t>показник продукту: кількість пацієнтів, хворих на запальні хронічні захворювання товстого кишківника (хвороба Крона та виразковий коліт), які забезпечені лікарськими засобами та медичними виробами, осіб, в т.ч.:</t>
  </si>
  <si>
    <t>показник продукту: кількість пацієнтів дитячого віку, хворих на запальні хронічні захворювання товстого кишківника (хвороба Крона та виразковий коліт), які забезпечені лікувальним харчуванням, осіб, в т.ч.:</t>
  </si>
  <si>
    <t>2.23. Забезпечення лікарськими засобами пацієнтів дитячого віку з хворобою Кавасакі</t>
  </si>
  <si>
    <t>2.24. Забезпечення лікарськими засобами хворих на легеневу гіпертензію</t>
  </si>
  <si>
    <t>показник продукту: кількість пацієнтів, які забезпечені лікарськими засобами для лікування легеневої гіпертензії, осіб, в т.ч.:</t>
  </si>
  <si>
    <t>2.25. Забезпечення лікарськими засобами хворих на тирозинемією</t>
  </si>
  <si>
    <t>показник продукту: кількість хворих з тирозинемією, які забезпечені лікарськими засобами, осіб, в т.ч.:</t>
  </si>
  <si>
    <t xml:space="preserve">2.26. Забезпечення лікувальним харчуванням хворих на тирозинемію </t>
  </si>
  <si>
    <t>показник продукту: кількість хворих з тирозинемією, які забезпечені лікувальним харчуванням осіб</t>
  </si>
  <si>
    <t>показник продукту: кількість пацієнтів дитячого віку, хворих на метілмалонову аміноацидурію, які забезпечені лікувальним харчуванням, осіб</t>
  </si>
  <si>
    <t>2.28. Забезпечення лікарськими засобами хворих на первинний імунодефіцит</t>
  </si>
  <si>
    <t>2.32. Забезпечення лікарськими засобами пацієнтів з демієлінізуючими захворюваннями нервової системи</t>
  </si>
  <si>
    <t>показник продукту: кількість пацієнтів з демієлінізуючими захворюваннями нервової системи, які забезпечені лікарськими засобами, осіб</t>
  </si>
  <si>
    <t>2.33. Забезпечення лікарськими засобами хворих з ВІЛ - інфекцією в термінальній стадії з ускладненим перебігом</t>
  </si>
  <si>
    <t xml:space="preserve">2.34. Забезпечення етіотропним противірусним лікуванням хворих на вірусний гепатит В і С </t>
  </si>
  <si>
    <t>показник продукту: кількість пацієнтів, які забезпечені етіотропним противірусним лікуванням хворих на вірусний гепатит В і С, осіб:</t>
  </si>
  <si>
    <t>показник продукту: кількість пацієнтів з онкогематологічною патологією, які забезпечені хіміопрепаратами та супроводжуючою терапією, осіб</t>
  </si>
  <si>
    <t xml:space="preserve">2.38. Забезпечення лікарськими засобами лікування дихальних розладів у новонароджених </t>
  </si>
  <si>
    <t>показник продукту: кількість пацієнтів, які забезпечені лікарськими засобами для лікування дихальних розладів новонароджених, осіб</t>
  </si>
  <si>
    <t xml:space="preserve">2.39. Забезпечення пацієнтів лікарськими засобами, медичними виробами для проведення екстракорпоральних методів лікування (гемодіалізу, гемофільтрації, перитонеального діалізу тощо) </t>
  </si>
  <si>
    <t xml:space="preserve">2.40. Забезпечення пацієнтів лікарськими засобами для корекції порушень фосфорно-кальцієвого обміну, вторинного гіперпаратиреозу </t>
  </si>
  <si>
    <t>показник продукту: кількість пацієнтів із захворюванням нирок, які будуть забезпечені лікарськими засобами для корекції порушень фосфорно-кальцієвого обміну, вторинного гіперпаратиреозу, осіб</t>
  </si>
  <si>
    <t xml:space="preserve">2.41. Забезпечення пацієнтів лікарськими засобами та медичними виробами для проведення екстракорпоральних методів лікування </t>
  </si>
  <si>
    <t>2.43. Забезпечення лікувальним харчуванням дітей віком від 4 років та дорослих при хронічній хворобі нирок</t>
  </si>
  <si>
    <t>показник продукту: кількість пацієнтів, які мають вади слуху, що забезпечені кохлеарними імплантами, осіб</t>
  </si>
  <si>
    <t>2.46. Забезпечення/заміна мовних процесорів пацієнтам, які мають вади слуху за медичними показами</t>
  </si>
  <si>
    <t>показник продукту: кількість пацієнтів з вродженою або набутою туговухістю, які забезпечені мовними процесорами, осіб</t>
  </si>
  <si>
    <t>2.47. Забезпечення пацієнтів медичними виробами при офтальмологічних захворюваннях (катаракта, глаукома, вітректомія тощо)</t>
  </si>
  <si>
    <t>2.49. Забезпечення пацієнтів медичними виробами при наданні кардіохірургічної допомоги</t>
  </si>
  <si>
    <t>показник продукту: кількість пацієнтів, що забезпечені медичними виробами при наданні кардіохірургічної допомоги, осіб</t>
  </si>
  <si>
    <t>2.50. Забезпечення пацієнтів лікарськими засобами та медичними виробами при лікуванні наслідків бойової травми методом відновно - реконструктивної хірургії</t>
  </si>
  <si>
    <t xml:space="preserve">2.51. Забезпечення лікарськими засобами та медичними виробами пацієнтів з судинно-мозковими захворюваннями, яким показано нейрохірургічні втручання </t>
  </si>
  <si>
    <t>2.52. Забезпечення засобами догляду пацієнтів паліативних відділень (підгузки, пелюшки)</t>
  </si>
  <si>
    <t>показник продукту: кількість пацієнтів паліативних відділень, які забезпечені засобами догляду (підгузки, пелюшки), осіб</t>
  </si>
  <si>
    <t>показник продукту: кількість пацієнтів дитячого віку з передчасним статевим розвитком, які забезпечені аналогами гонадотропін -рилізинг гормону осіб, в т.ч.:</t>
  </si>
  <si>
    <t>показник продукту: кількість пацієнтів дитячого віку, хворих на гіпофізарний нанізм та нанізм різного походження, які забезпечені препаратами гормону росту, осіб, в т.ч.:</t>
  </si>
  <si>
    <t>2.27. Забезпечення лікувальним харчуванням пацієнтів дитячого віку, хворих на метілмалонову аміноацидурію</t>
  </si>
  <si>
    <t xml:space="preserve">2.21. Забезпечення лікарськими засобами та медичними виробами хворих на запальні хронічні захворювання товстого кишківника (хвороба Крона та виразковий коліт) </t>
  </si>
  <si>
    <t xml:space="preserve">2.22. Забезпечення лікувальним харчуванням пацієнтів дитячого віку, хворих на запальні хронічні захворювання товстого кишківника (хвороба Крона та виразковий коліт) </t>
  </si>
  <si>
    <t>показник продукту: кількість пацієнтів дитячого віку з хворобою Кавасакі, які забезпечені лікарськими засобами, осіб</t>
  </si>
  <si>
    <t>2.29. Забезпечення лікарськими засобами хворих на розсіяний склероз</t>
  </si>
  <si>
    <t>показник продукту: кількість пацієнтів з ВІЛ - інфекцією в термінальній стадії з ускладненим перебігом, які забезпечені лікарськими засобами, осіб</t>
  </si>
  <si>
    <t>показник продукту: кількість пацієнтів з онкологічними захворюваннями, які забезпечені лікарськими засобами для супроводу та лікування, осіб</t>
  </si>
  <si>
    <t>2.36. Забезпечення лікарськими засобами для лікування та супроводу хворих з онологічними захворюваннями</t>
  </si>
  <si>
    <t xml:space="preserve">2.37. Забезпечення витратними матеріалами для проведення забору донорської крові та її компонентів, виготовлення вірусінактивованих та кріоконсервованих компонентів крові </t>
  </si>
  <si>
    <t>2.42. Забезпечення лабораторними реактивами для обстеження пацієнтів із захворюванням нирок</t>
  </si>
  <si>
    <t>показник продукту: кількість пацієнтів із захворюванням нирок, які забезпечені лабораторними реактивами для обстеження, осіб</t>
  </si>
  <si>
    <t>показник продукту: кількість пацієнтів, що отримали лікування наслідків бойової травми методом відновно - реконструктивної хірургії, осіб</t>
  </si>
  <si>
    <t>показник продукту: кількість закладів, що отримують відшкодування витрат на безоплатний та пільговий відпуск лікарських засобів, од.</t>
  </si>
  <si>
    <t xml:space="preserve">показник ефективності: середні витрати на відшкодування закладу охорони здоров'я безоплатного та пільгового відпуску лікарських засобів за рецептами лікарів у разі амбулаторного лікування, тис. грн. </t>
  </si>
  <si>
    <t>Департамент охорони здоров'я, КНП «Київський міський інформаційно-аналітичний центр медичної статистики»</t>
  </si>
  <si>
    <t xml:space="preserve">Департамент охорони здоров'я, КНП "Центр екстреної медичної допомоги та медицини катастроф міста Києва" </t>
  </si>
  <si>
    <t xml:space="preserve">2. Підтримка киян, які потребують додаткової медичної допомоги </t>
  </si>
  <si>
    <t>Обсяги фінансування, (тис.грн.)</t>
  </si>
  <si>
    <t>показник ефективності: середні витрати на один об'єкт, тис. грн</t>
  </si>
  <si>
    <t>Департамент охорони здоров'я,заклади охорони здоров'я, що засновані на комунальній власності територіальної громади м. Києва, КП "Інженерний центр"</t>
  </si>
  <si>
    <t>показник якості: рівень забезпечення пацієнтів у % до потреби</t>
  </si>
  <si>
    <t xml:space="preserve">показник якості: рівень забезпечення пацієнтів у %  до потреби </t>
  </si>
  <si>
    <t>показник ефективності: середні витрати на витратні матеріали для заготівлі крові та її компонентів, виготовлення з них вірусінактивованих та кріоконсервованих компонентів крові, тис. грн.</t>
  </si>
  <si>
    <t>показник продукту: кількість пацієнтів, які забезпечені лікарськими засобами, медичними виробами для проведення екстракорпоральних методів лікування (гемодіалізу, гемофільтрації, перитонеального діалізу тощо), осіб</t>
  </si>
  <si>
    <t>показник продукту: кількість пацієнтів, які забезпечені лікувальним харчуванням для дітей віком від 4 років та дорослих при хронічній хворобі нирок, осіб</t>
  </si>
  <si>
    <t xml:space="preserve">2.48. Забезпечення пацієнтів медичними виробами та інструментарієм для їх імплантації при проведенні оперативних втручань з ендопротезування суглобів </t>
  </si>
  <si>
    <t>показник продукту: кількість проведених оперативних втручань з ендопротезування суглобів,  од.</t>
  </si>
  <si>
    <t xml:space="preserve">2.54. Забезпечення закладів охорони здоров'я при амбулаторному лікуванні відповідно до постанови КМУ від 17.08.1998 №1303 "Про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захворювань" лікарськими засобами, що не ввійшли до програми "Доступні ліки"
</t>
  </si>
  <si>
    <t>показник продукту: кількість пацієнтів, які забезпечені лікарськими засобами та медичними виробами для проведення екстракорпоральних методів лікування, осіб</t>
  </si>
  <si>
    <t>показник продукту: кількість пацієнтів, які забезпечені медичними виробами для проведення лікування офтальмологічних захворювань (катаракта, глаукома, вітректомія тощо), осіб</t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</si>
  <si>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акромегалію, які забезпечені лікарськими засобами, осіб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</si>
  <si>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муковісцидоз,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</si>
  <si>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фенілкетонурію,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</si>
  <si>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ювенільний ревматоїдний артрит,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</si>
  <si>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хворих на хворобу Стілла,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</si>
  <si>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системну склеродермію,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</si>
  <si>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хворих на системні васкуліти,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</si>
  <si>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спондилоартрити,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</si>
  <si>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спінально - м'язову атрофію (за комісійним висновком),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</si>
  <si>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спінально - м'язову атрофію (за комісійним висновком),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</si>
  <si>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мукополісахаридоз, які забезпечені лікарськими засобами, осіб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</si>
  <si>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бульозним епідермолізом, які забезпечені медичними виробами,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</si>
  <si>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бульозним епідермолізом,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</si>
  <si>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первинний імунодефіцит,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</si>
  <si>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розсіяний склероз,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</si>
  <si>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коагулопатію, які забезпечені лікарськими засобами для замісної терапії, осіб</t>
    </r>
  </si>
  <si>
    <t>показник якості: рівень забезпечення інформаційно-аналітичними матеріалами, у %  до запланованого</t>
  </si>
  <si>
    <t>показник продукту: кількість пацієнтів із судинно-мозковими захворюваннями, які забезпечені медичними виробами та лікарськими засобами для проведення нейрохірургічних втручань, осіб</t>
  </si>
  <si>
    <t>Департамент охорони здоров'я, заклади охорони здоров'я, що засновані на комунальній власності територіальної громади м. Києва, РДА, КП "Інженерний центр", комунальне підприємство з питань будівництва житлових будинків "Житлоінвестбуд-УКБ"</t>
  </si>
  <si>
    <t>показник якості: динаміка кількості закладів охорони здоров'я, що забезпечуються лікарськими засобами у порівнянні з минулим роком, %</t>
  </si>
  <si>
    <t>показник якості: динаміка кількості дітей до 2-х років, що отримують пільгове харчування у порівнянні з минулим роком, %</t>
  </si>
  <si>
    <t>показник ефективності: середні витрати на одного пацієнта, тис. грн.:</t>
  </si>
  <si>
    <t xml:space="preserve">Інші джерела </t>
  </si>
  <si>
    <t>показник якості: рівень освоєння коштів, %</t>
  </si>
  <si>
    <t>показник якості: рівень забезпечення пацієнтів,  у % до потреби</t>
  </si>
  <si>
    <t>показник продукту: кількість дітей з лабільним перебігом цукрового діабету, які забезпечені:</t>
  </si>
  <si>
    <t>показник якості: рівень забезпечення витратним матеріалом у % до потреби</t>
  </si>
  <si>
    <t>показник якості: рівень забезпечення пацієнтів у % до запланованого</t>
  </si>
  <si>
    <t>показник якості: рівень забезпечення закладів автотранспортом, %</t>
  </si>
  <si>
    <t>показник продукту: кількість закладів охорони здоров'я, що засновані на комунальній власності територіальної громади м. Києва, у яких проведено капітальні ремонти, одиниць</t>
  </si>
  <si>
    <t>показник ефективності: середні витрати на один заклад охорони здоров'я, що заснований на комунальній власності територіальної громади м. Києва, тис. грн</t>
  </si>
  <si>
    <t>показник продукту: кількість закладів охорони здоров'я, що засновані на комунальній власності територіальної громади м. Києва, які підлягають забезпеченню, одиниць</t>
  </si>
  <si>
    <t>показник якості: частка закладів охорони здоров'я, що засновані на комунальній власності територіальної громади м. Києва,що забезпечені обладнанням в поточному році у загальній кількості закладів, %</t>
  </si>
  <si>
    <t>показник якості: частка закладів охорони здоров'я, що засновані на комунальній власності територіальної громади м. Києва, у яких проведено капітальні ремонти, в поточному році у загальній кількості закладів, %</t>
  </si>
  <si>
    <t xml:space="preserve">показник продукту:  кількість осіб молодшого медичного персоналу </t>
  </si>
  <si>
    <t>показник ефективності: середньомісячний обсяг  додаткових виплат  на одного працівника молодшого медичного персоналу, грн</t>
  </si>
  <si>
    <t>показник якості: рівень  охоплення медичного персоналу виплатою, %</t>
  </si>
  <si>
    <t xml:space="preserve"> </t>
  </si>
  <si>
    <t>План на 2024 рік</t>
  </si>
  <si>
    <t>Одиниця виміру</t>
  </si>
  <si>
    <t>тис. грн</t>
  </si>
  <si>
    <t>осіб</t>
  </si>
  <si>
    <t>%</t>
  </si>
  <si>
    <t xml:space="preserve">Причина невиконання заходу </t>
  </si>
  <si>
    <t>За рахунок яких джерел відбувалось забезпечення (місцевий бюджет, державний бюджет). У разі відсутності залишків медикаментів та надходжень за 2023 рік, зазначити за рахунок чого забезпечувались пацієнти</t>
  </si>
  <si>
    <t>Державний бюджет</t>
  </si>
  <si>
    <t>Місцевий бюджет</t>
  </si>
  <si>
    <t>НСЗУ</t>
  </si>
  <si>
    <t>Інші джерела</t>
  </si>
  <si>
    <t>Примітка</t>
  </si>
  <si>
    <r>
      <rPr>
        <b/>
        <sz val="10"/>
        <color theme="1"/>
        <rFont val="Times New Roman"/>
        <family val="1"/>
        <charset val="204"/>
      </rPr>
      <t xml:space="preserve">В разі відсутності коштів </t>
    </r>
    <r>
      <rPr>
        <b/>
        <u/>
        <sz val="10"/>
        <color theme="1"/>
        <rFont val="Times New Roman"/>
        <family val="1"/>
        <charset val="204"/>
      </rPr>
      <t>обов'язково</t>
    </r>
    <r>
      <rPr>
        <b/>
        <sz val="10"/>
        <color theme="1"/>
        <rFont val="Times New Roman"/>
        <family val="1"/>
        <charset val="204"/>
      </rPr>
      <t xml:space="preserve"> вказати, за рахунок чого виконується захід</t>
    </r>
  </si>
  <si>
    <r>
      <t xml:space="preserve">Фактичне значення показника </t>
    </r>
    <r>
      <rPr>
        <b/>
        <u/>
        <sz val="14"/>
        <rFont val="Times New Roman"/>
        <family val="1"/>
        <charset val="204"/>
      </rPr>
      <t>за весь період</t>
    </r>
  </si>
  <si>
    <r>
      <t xml:space="preserve">Фактичне значення показника </t>
    </r>
    <r>
      <rPr>
        <b/>
        <u/>
        <sz val="16"/>
        <rFont val="Times New Roman"/>
        <family val="1"/>
        <charset val="204"/>
      </rPr>
      <t>за звітний період</t>
    </r>
  </si>
  <si>
    <t>х</t>
  </si>
  <si>
    <t>Джерела забезпечення виконання заходу (касові видатки), тис грн до 3 розряду</t>
  </si>
  <si>
    <t>СІЧЕНЬ</t>
  </si>
  <si>
    <t>показник продукту: кількість пацієнтів, що отримали лікування політравми та проведення відновно - реконструктивної хірургії, осіб</t>
  </si>
  <si>
    <t>показник продукту*: кількість лікарів (крім лікарів-інтернів, лікарів фізичної та реабілітаційної медицини що надають реабілітаційну допомогу у стаціонарних умовах), професіоналів з вищою немедичною освітою, професіоналів у галузі охорони здоров'я у закладах охорони здоров'я (крім фізичних терапевтів, ерготерапевтів, що надають реабілітаційну допомогу у стаціонарних умовах), осіб</t>
  </si>
  <si>
    <t>Показник продукту:
кількість працівників, що надають реабілітаційну допомогу в стаціонарних умовах (асистентів фізичного терапевта, асистентів ерготеравта), осіб</t>
  </si>
  <si>
    <t xml:space="preserve">Показник продукту:
кількість працівників, що надають реабілітаційну допомогу в стаціонарних умовах (лікарів з фізичної та реабілітаційної медицини, фізичних терапевтів, ерготерапевтів), осіб </t>
  </si>
  <si>
    <t>показник продукту: кількість молодших спеціалістів з медичною освітою (фахових молодших бакалаврів), фахівців з початковим рівнем (короткий цикл) вищої медичної освіти, першим (бакалаврський) рівнем вищої медичної освіти і магістрів з медсестринства (крім асистентів фізичного терапевта, асистентів ерготерапевта, що надають реабілітаційну допомогу у стаціонарних умовах), осіб</t>
  </si>
  <si>
    <t>показник ефективності: середньомісячний обсяг додаткових виплат на одного молодшого спеціаліста з медичною освітою (фахових молодших бакалаврів), фахівцям з початковим рівнем (короткий цикл) вищої медичної освіти, першим (бакалаврський) рівнем вищої медичної освіти і магістрів з медсестринства, (крім асистентів фізичного терапевта, асистентів ерготерапевта, що надають реабілітаційну допомогу у стаціонарних умовах), грн</t>
  </si>
  <si>
    <t>показник ефективності: середньомісячний обсяг додаткових виплат на одного працівника, що надає реабілітаційну допомогу в стаціонарних умовах (лікаря з фізичної та реабілітаційної медицини, фізичного терапевта, ерготерапевта), грн</t>
  </si>
  <si>
    <t>показник ефективності: середньомісячний обсяг додаткових виплат на одного працівника, що надає реабілітаційну допомогу в стаціонарних умовах (асистента фізичного терапевта, асистента ерготерапевта), осіб, грн</t>
  </si>
  <si>
    <t>Додаток</t>
  </si>
  <si>
    <t>Київський міський голова</t>
  </si>
  <si>
    <t>2026 рік</t>
  </si>
  <si>
    <t>2027 рік</t>
  </si>
  <si>
    <t>2028 рік</t>
  </si>
  <si>
    <t>міської цільової програми "Підтримка та розвиток галузі охорони здоров'я столиці" на 2024-2028 роки</t>
  </si>
  <si>
    <t xml:space="preserve"> Віталій </t>
  </si>
  <si>
    <t>КЛИЧКО</t>
  </si>
  <si>
    <t>2026-2028</t>
  </si>
  <si>
    <t>показник ефективності: середні витрати на  1 пацієнта тис. грн.</t>
  </si>
  <si>
    <t>Департамент охорони здоров'я, дитячий спеціалізований санаторій "Ялинка". Дитячий спеціалізований санаторій "Лісова поляна".</t>
  </si>
  <si>
    <t>показник продукту: кількість закладів, що отримують підтримку</t>
  </si>
  <si>
    <t>показник ефективності: середні витрати на підтримку закладу, тис. грн.</t>
  </si>
  <si>
    <t>показник якості: рівень виконання заходу %</t>
  </si>
  <si>
    <t>Апарат ВО КМР (КМДА). КО"Київмедспецтранс"</t>
  </si>
  <si>
    <t>Апарат ВО КМР (КМДА). Заклади охорони здоров"я, що засновані на комунальній власності територіальної громади міста Києва, в частині забезпечення послугами спеціального та спеціалізованого автотранспорту для надання меддичної допомоги.</t>
  </si>
  <si>
    <t>Оперативна ціль Стратегії розвитку міста Києва до 2027 року</t>
  </si>
  <si>
    <t>2024 - 2028</t>
  </si>
  <si>
    <t>Показник продукту: Кількість  лікарів ортезистів-протезистів, осіб.</t>
  </si>
  <si>
    <t>Показник продукту: Кількість асистентів лікарів ортезистів-протезистів,  осіб.</t>
  </si>
  <si>
    <t>показник ефективності*: середньомісячний обсяг додаткових виплат на одного лікаря (крім лікарів-інтернів, лікарів фізичної та реабілітаційної медицини що надають реабілітаційну допомогу у стаціонарних умовах), професіоналів з вищою немедичною освітою, професіоналів у галузі охорони здоров'я у закладах охорони здоров'я (крім фізичних терапевтів, ерготерапевтів, що надають реабілітаційну допомогу у стаціонарних умовах), грн</t>
  </si>
  <si>
    <t>показник ефективності: середні витрати на витратні матеріали для заготівлі крові та її компонентів одної донації, виготовлення з них одної дози вірусінактивованих та кріоконсервованих компонентів крові, тис. грн.</t>
  </si>
  <si>
    <t xml:space="preserve">показник ефективності: середні витрати на відшкодування одному  закладу охорони здоров'я безоплатного та пільгового відпуску лікарських засобів за рецептами лікарів у разі амбулаторного лікування, тис. грн. </t>
  </si>
  <si>
    <t>показник ефективності: середні вмтрати на одного пацієнта, тис. грн</t>
  </si>
  <si>
    <t>показник продукту: кількість пацієнтів, хворих на первинний імунодефіцит, які забезпечені лікарськими засобами, осіб, в т.ч.:</t>
  </si>
  <si>
    <t>показник ролдукту: кількість пацієнтів які забезпечені медичними виробами проведення вимірювання глікованого гемоглобіна, осіб</t>
  </si>
  <si>
    <t>показник продукту: кількість пацієнтів, хворих на фенілкетонурію, які забезпечені лікувальним харчуванням, осіб, в т.ч.:</t>
  </si>
  <si>
    <t>показник продукту: кількість пацієнтів, хворих на спінально - м'язову атрофію (за комісійним висновком), які забезпечені лікарськими засобами, осіб, в т.ч.:</t>
  </si>
  <si>
    <t>показник продукту: кількість пацієнтів, хворих бульозним епідермолізом, які забезпечені медичними виробами, осіб, в т.ч.:</t>
  </si>
  <si>
    <t>показник продукту: кількість пацієнтів, хворих на розсіяний склероз, які забезпечені лікарськими засобами, осіб, в т.ч.:</t>
  </si>
  <si>
    <t>показник продукту: кількість пацієнтів, хворих на спондилоартрити, які забезпечені лікарськими засобами, осіб, в т.ч.:</t>
  </si>
  <si>
    <t>показник продукту: кількість пацієнтів, хворих на мукополісахаридоз, які забезпечені лікарськими засобами, осіб</t>
  </si>
  <si>
    <t xml:space="preserve">1.1. Будівництво, реконструкція та реставрація в закладах охорони здоров'я, що засновані на комунальній власності територіальної громади м. Києва, оновлення та забезпечення їх матеріально-технічної бази </t>
  </si>
  <si>
    <t>1.2. Проведення капітальних ремонтів в закладах охорони здоров'я, що засновані на комунальній власності територіальної громади м. Києва</t>
  </si>
  <si>
    <t>1.3. Закупівля   обладнання для закладів  охорони здоров'я, що засновані на комунальній власності територіальної громади м. Києва</t>
  </si>
  <si>
    <t>2.1.забезпечення пацієнтів дитячого віку, хворих на цукроіий діабет, препаратами глюкагону для невідкладної терапії гіпоглекемій</t>
  </si>
  <si>
    <t>2.3. Забезпечення пацієнтів дитячого віку з передчасним статевим розвитком аналогами гонадотропін-рилізинг гормону</t>
  </si>
  <si>
    <t>2.4 Забезпечення медичними виробами проведення вимірювання гліковоного гемоглобіну у хворих на цукровий діабет</t>
  </si>
  <si>
    <t>2.11. Забезпечення лікарськими засобами хворих на хворобу Стіла</t>
  </si>
  <si>
    <t>2.12. Забезпечення лікарськими засобами хворих на системну Склеродермію</t>
  </si>
  <si>
    <t>2.13.Забезпечення лікарськими засобами хворих на системні васкуліти</t>
  </si>
  <si>
    <t>2.50. Забезпечення пацієнтів лікарськими засобами та медичними виробами при лікуванні політравми та проведенні відновно - реконструктивної хірургії</t>
  </si>
  <si>
    <t>2.56. Генерація клітинних технологій у галузі охорони здоров'я</t>
  </si>
  <si>
    <t xml:space="preserve"> 3.2 Підтримка закладів охорони здоров'я, які знаходяться в статусі бюджетних установ до завершення їх реорганізації.</t>
  </si>
  <si>
    <t>3.3 Забезпечення централізованими послугами спеціалізованого автотранспорту для надання екстренної медичної допомоги населенню</t>
  </si>
  <si>
    <t>показник ефективності: середні витрати на один паціента, тис.грн</t>
  </si>
  <si>
    <t>показник продукту: кількість паціентів прии лікуванні яких застосовано   культивовані  мезенхімальних стовбурових клітин, осіб</t>
  </si>
  <si>
    <t>3.4 Оновлення парку автомобілів екстреної (швидкої) медичної допомоги, у тому числі реанімобілів для транспортування новонароджених</t>
  </si>
  <si>
    <t>Апарат ВО КМР (КМДА). КО"Київмедспецтранс", Департамент охорони здоров'я, КНП "Центр екстреної медичної допомоги та медицини катастроф міста Києва"</t>
  </si>
  <si>
    <t>3.5 Підтимка КО "Київмедспецтранс" в частині забезпечення комунальних закладів охорони здоров'я послугами спеціалізованогоавтотранспорту для надання медичної допомоги</t>
  </si>
  <si>
    <t>до міської цільової програми "Підтримка та розвиток галузі охорони столиці " на 2025-2028 роки</t>
  </si>
  <si>
    <t>показник ефективності: середні витрати на одне оперативне втручання, тис. грн.</t>
  </si>
  <si>
    <t>* Установити, лікарям що задіяні у складі мультидисциплінарних команд повсякденного функціонування (осіб),   лікарям паталогоанатомам,   лікарям анастезіологам  дитячим,   лікарям неонатологам,   лікарям фтизіатрам, застосовується збільшуючий коефіцієнт 2.</t>
  </si>
  <si>
    <t>показник продукту: кількість пацієнтів дитячого віку хворих на цукровий діабет які забезпечені препаратами глюкагону для невідкладної терапіїгіпоглекемій.</t>
  </si>
  <si>
    <t>показник якості: рівень забезпечення у % до потреби</t>
  </si>
  <si>
    <t>показник продукту: кількість пацієтів хворих на хворобу Стіла, які забезпечені лікарськими засобами, осіб в тому числі</t>
  </si>
  <si>
    <t>показник продукту: кількість пацієтів хворих на системну Склеродермію, які забезпечені лікарськими засобами, осіб в тому числі</t>
  </si>
  <si>
    <t>показник продукту: кількість пацієтів хворих на системні васкуліти, які забезпечені лікарськими засобами, осіб в тому числі</t>
  </si>
  <si>
    <t>показник ефективності: середні витрати на одну машино/годину,  грн.</t>
  </si>
  <si>
    <t>3.1. Забезпечення функціонування інформаційно-аналітичної системи галузі охорони здоров'я в частині виконання заходів, пов'язаних із збором, обробкою, зберіганням та передачею медико -статистичної інформації, та супровід і обслуговування інформаційної платформи (системи)</t>
  </si>
  <si>
    <t>показник продукту: кількість наданих  інформаційно-аналітичних матеріалів (аналітичних довідок, методичних рекомендацій, письмових роз’яснень, звітних форм, довідників та іншої інформації), та послуг щодо супровуду системи од.</t>
  </si>
  <si>
    <t>показник ефективності: середні витрати надання інформаційно-аналітичного матеріалу, та послуг щодо супровуду системи, тис. грн</t>
  </si>
  <si>
    <t>2. Забезпечення населення через муніципальні програми життєвонеобхідними дороговартісними лікарськими засобами та медичними виробами, що не покриваються програмою державних гарантій медичного обслуговування населення та окремими державними програмами</t>
  </si>
  <si>
    <t>3. Розвиток і забезпечення функцонування інформаційно-аналітичної системи галузі охорони здоров'я, пов'язаної зі збором, обробкою та аналізом медико-статистичної звітності</t>
  </si>
  <si>
    <t>РАЗОМ ПО ПРОГРАМІ:  кошти бюджету   міста Києва 65 672 654,84 тис. грн.</t>
  </si>
  <si>
    <t>РАЗОМ ПО ПРОГРАМІ:  інші джерела 9 296 906,22  тис. грн.</t>
  </si>
  <si>
    <t>1. Приведення закладів охорони здоров'я у відповідність до державних будівельних норм щодо інклюзивності та санітарно-гігієнічних норм, забезпечення дороговартісним високотехнологічним обладнанням  для надання якісних  медичних послуг</t>
  </si>
  <si>
    <t>показник ефективності: обсяг витрати на один автомобіль тис. грн.</t>
  </si>
  <si>
    <t>Показник ефективності: середньомісячний обсяг додаткових виплат на одного  лікаря ортезиста-протезиста, грн</t>
  </si>
  <si>
    <t>Показник ефективності: середньомісячний обсяг додаткових виплат на одного  асистента лікаря ортезиста-протезиста,  грн</t>
  </si>
  <si>
    <t>показник ефективності: середньомісячний обсяг додаткових виплат на одного працівника, що надає реабілітаційну допомогу в стаціонарних умовах (асистента фізичного терапевта, асистента ерготерапевта) грн</t>
  </si>
  <si>
    <t>показник ефективності: середньомісячний обсяг додаткових виплат на одного лікаря, що проводить медичний огляд осіб, що організовується територіальними центрами комплектування та соціальної підтримки (ВЛК), грн</t>
  </si>
  <si>
    <t>показник продукту: кількть лікарів, що проводять медичний огляд осіб, що організовується територіальними центрами комплектування та соціальної підтримки (ВЛК), осіб</t>
  </si>
  <si>
    <r>
      <t xml:space="preserve">показник продукту: кількість </t>
    </r>
    <r>
      <rPr>
        <sz val="10"/>
        <rFont val="Times New Roman"/>
        <family val="1"/>
        <charset val="204"/>
      </rPr>
      <t xml:space="preserve"> одиниць</t>
    </r>
  </si>
  <si>
    <t>показник якості:  забезпечення у  %.</t>
  </si>
  <si>
    <t xml:space="preserve"> Підвищення якості надання мешканцям/мешканкамстолиці  доступної та безоплатної медичної допомоги тв межах програми  державних гарантій медичного обслуговування населення та муніципальих програм</t>
  </si>
  <si>
    <t>,</t>
  </si>
  <si>
    <t xml:space="preserve">3.6  Щомісячна безповоротна фінансова допомога на період воєнного стану медичним  працівникам (включаючи молодший медичний персонал) закладів охорони здоров'я, які надають медичну допомогу (екстрену, спеціалізовану, паліативну)  та/або реабілітаційну допомогу у сфері охорони здоров’я та молодшому медичному персоналу закладів охорони здоров'я, які надають первинну медичну допомогу  </t>
  </si>
  <si>
    <t>3.8 Підтримка закладів охорони здоров"я, що засновані на комунальній власності територіальної громади міста Києва, в частині забезпечення послугами спеціального та спеціалізованого автотранспорту для надання медичної допомоги.</t>
  </si>
  <si>
    <t>3.7  Щомісячна безповоротна фінансова допомога  працівникам закладів охорони здоров’я, які надають медичну допомогу (спеціалізовану, паліативну) та/або реабілітаційну допомогу у сфері охорони здоров'я в стаціонарних умовах, екстрену медичну допомогу,  молодшому медичному персоналу закладів охорони здоров'я та лікарям, які проводять медичний огляд осіб, що організовується територіальними центрами комплектування та соціальної підтримки (ВЛК)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</si>
</sst>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0_р_._-;\-* #,##0.00_р_._-;_-* &quot;-&quot;??_р_._-;_-@_-"/>
    <numFmt numFmtId="167" formatCode="_-* #,##0.000_-;\-* #,##0.000_-;_-* &quot;-&quot;??_-;_-@_-"/>
    <numFmt numFmtId="168" formatCode="_-* #,##0.0_-;\-* #,##0.0_-;_-* &quot;-&quot;??_-;_-@_-"/>
    <numFmt numFmtId="169" formatCode="#,##0_ ;\-#,##0\ "/>
    <numFmt numFmtId="170" formatCode="#,##0.00_ ;\-#,##0.00\ 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.5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</cellStyleXfs>
  <cellXfs count="845">
    <xf numFmtId="0" fontId="0" fillId="0" borderId="0" xfId="0"/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10" fillId="0" borderId="0" xfId="1" applyFont="1" applyFill="1" applyBorder="1" applyAlignment="1">
      <alignment vertical="center" wrapText="1"/>
    </xf>
    <xf numFmtId="4" fontId="6" fillId="0" borderId="0" xfId="0" applyNumberFormat="1" applyFont="1" applyAlignment="1">
      <alignment horizontal="left" wrapText="1"/>
    </xf>
    <xf numFmtId="43" fontId="4" fillId="0" borderId="0" xfId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43" fontId="10" fillId="0" borderId="5" xfId="1" applyFont="1" applyFill="1" applyBorder="1" applyAlignment="1">
      <alignment horizontal="center" vertical="center" wrapText="1"/>
    </xf>
    <xf numFmtId="43" fontId="10" fillId="0" borderId="2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43" fontId="4" fillId="0" borderId="11" xfId="1" applyFont="1" applyFill="1" applyBorder="1" applyAlignment="1">
      <alignment vertical="center" wrapText="1"/>
    </xf>
    <xf numFmtId="4" fontId="6" fillId="0" borderId="10" xfId="0" applyNumberFormat="1" applyFont="1" applyBorder="1" applyAlignment="1">
      <alignment horizontal="left" wrapText="1"/>
    </xf>
    <xf numFmtId="4" fontId="6" fillId="0" borderId="14" xfId="0" applyNumberFormat="1" applyFont="1" applyBorder="1" applyAlignment="1">
      <alignment horizontal="left" wrapText="1"/>
    </xf>
    <xf numFmtId="9" fontId="4" fillId="0" borderId="2" xfId="2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 wrapText="1"/>
    </xf>
    <xf numFmtId="43" fontId="4" fillId="0" borderId="11" xfId="1" applyFont="1" applyFill="1" applyBorder="1" applyAlignment="1">
      <alignment horizontal="center" vertical="center"/>
    </xf>
    <xf numFmtId="43" fontId="10" fillId="0" borderId="37" xfId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3" fontId="6" fillId="0" borderId="21" xfId="0" applyNumberFormat="1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43" fontId="10" fillId="0" borderId="9" xfId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3" fontId="10" fillId="0" borderId="13" xfId="1" applyFont="1" applyFill="1" applyBorder="1" applyAlignment="1">
      <alignment vertical="center" wrapText="1"/>
    </xf>
    <xf numFmtId="4" fontId="6" fillId="0" borderId="7" xfId="0" applyNumberFormat="1" applyFont="1" applyBorder="1" applyAlignment="1">
      <alignment horizontal="left" wrapText="1"/>
    </xf>
    <xf numFmtId="9" fontId="4" fillId="0" borderId="1" xfId="2" applyFont="1" applyFill="1" applyBorder="1" applyAlignment="1">
      <alignment horizontal="center" vertical="center" wrapText="1"/>
    </xf>
    <xf numFmtId="9" fontId="4" fillId="0" borderId="1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6" fillId="0" borderId="10" xfId="0" applyNumberFormat="1" applyFont="1" applyBorder="1" applyAlignment="1">
      <alignment horizontal="left" vertical="center" wrapText="1"/>
    </xf>
    <xf numFmtId="4" fontId="6" fillId="0" borderId="44" xfId="0" applyNumberFormat="1" applyFont="1" applyBorder="1" applyAlignment="1">
      <alignment horizontal="left" wrapText="1"/>
    </xf>
    <xf numFmtId="4" fontId="6" fillId="0" borderId="7" xfId="0" applyNumberFormat="1" applyFont="1" applyBorder="1" applyAlignment="1">
      <alignment horizontal="left" vertical="center" wrapText="1"/>
    </xf>
    <xf numFmtId="43" fontId="4" fillId="0" borderId="0" xfId="1" applyFont="1" applyFill="1" applyAlignment="1">
      <alignment vertical="top" wrapText="1"/>
    </xf>
    <xf numFmtId="43" fontId="5" fillId="0" borderId="0" xfId="1" applyFont="1" applyFill="1" applyAlignment="1">
      <alignment vertical="top" wrapText="1"/>
    </xf>
    <xf numFmtId="4" fontId="6" fillId="0" borderId="40" xfId="0" applyNumberFormat="1" applyFont="1" applyBorder="1" applyAlignment="1">
      <alignment horizontal="left" wrapText="1"/>
    </xf>
    <xf numFmtId="4" fontId="6" fillId="0" borderId="45" xfId="0" applyNumberFormat="1" applyFont="1" applyBorder="1" applyAlignment="1">
      <alignment horizontal="left" wrapText="1"/>
    </xf>
    <xf numFmtId="4" fontId="6" fillId="0" borderId="4" xfId="0" applyNumberFormat="1" applyFont="1" applyBorder="1" applyAlignment="1">
      <alignment horizontal="left" wrapText="1"/>
    </xf>
    <xf numFmtId="4" fontId="6" fillId="0" borderId="4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left" wrapText="1"/>
    </xf>
    <xf numFmtId="4" fontId="6" fillId="0" borderId="41" xfId="0" applyNumberFormat="1" applyFont="1" applyBorder="1" applyAlignment="1">
      <alignment horizontal="left" wrapText="1"/>
    </xf>
    <xf numFmtId="9" fontId="4" fillId="0" borderId="12" xfId="2" applyFont="1" applyFill="1" applyBorder="1" applyAlignment="1">
      <alignment horizontal="center" vertical="center" wrapText="1"/>
    </xf>
    <xf numFmtId="9" fontId="4" fillId="0" borderId="13" xfId="2" applyFont="1" applyFill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6" fontId="2" fillId="0" borderId="0" xfId="0" applyNumberFormat="1" applyFont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left" wrapText="1"/>
    </xf>
    <xf numFmtId="43" fontId="4" fillId="0" borderId="0" xfId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left" wrapText="1"/>
    </xf>
    <xf numFmtId="43" fontId="10" fillId="0" borderId="56" xfId="1" applyFont="1" applyFill="1" applyBorder="1" applyAlignment="1">
      <alignment vertical="center" wrapText="1"/>
    </xf>
    <xf numFmtId="43" fontId="10" fillId="0" borderId="57" xfId="1" applyFont="1" applyFill="1" applyBorder="1" applyAlignment="1">
      <alignment vertical="center" wrapText="1"/>
    </xf>
    <xf numFmtId="43" fontId="10" fillId="0" borderId="58" xfId="1" applyFont="1" applyFill="1" applyBorder="1" applyAlignment="1">
      <alignment vertical="center" wrapText="1"/>
    </xf>
    <xf numFmtId="4" fontId="6" fillId="0" borderId="48" xfId="0" applyNumberFormat="1" applyFont="1" applyBorder="1" applyAlignment="1">
      <alignment horizontal="left" wrapText="1"/>
    </xf>
    <xf numFmtId="4" fontId="6" fillId="0" borderId="45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5" fillId="0" borderId="56" xfId="0" applyNumberFormat="1" applyFont="1" applyBorder="1" applyAlignment="1">
      <alignment vertical="center" wrapText="1"/>
    </xf>
    <xf numFmtId="164" fontId="5" fillId="0" borderId="57" xfId="0" applyNumberFormat="1" applyFont="1" applyBorder="1" applyAlignment="1">
      <alignment vertical="center" wrapText="1"/>
    </xf>
    <xf numFmtId="164" fontId="5" fillId="0" borderId="58" xfId="0" applyNumberFormat="1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 wrapText="1"/>
    </xf>
    <xf numFmtId="0" fontId="5" fillId="0" borderId="37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3" fontId="13" fillId="0" borderId="49" xfId="1" applyFont="1" applyFill="1" applyBorder="1" applyAlignment="1">
      <alignment horizontal="center" vertical="center" wrapText="1"/>
    </xf>
    <xf numFmtId="43" fontId="18" fillId="0" borderId="56" xfId="1" applyFont="1" applyBorder="1" applyAlignment="1">
      <alignment vertical="center" wrapText="1"/>
    </xf>
    <xf numFmtId="164" fontId="18" fillId="0" borderId="56" xfId="0" applyNumberFormat="1" applyFont="1" applyBorder="1" applyAlignment="1">
      <alignment vertical="center" wrapText="1"/>
    </xf>
    <xf numFmtId="165" fontId="18" fillId="0" borderId="6" xfId="1" applyNumberFormat="1" applyFont="1" applyFill="1" applyBorder="1" applyAlignment="1">
      <alignment horizontal="center" vertical="center" wrapText="1"/>
    </xf>
    <xf numFmtId="164" fontId="18" fillId="0" borderId="57" xfId="0" applyNumberFormat="1" applyFont="1" applyBorder="1" applyAlignment="1">
      <alignment vertical="center" wrapText="1"/>
    </xf>
    <xf numFmtId="43" fontId="25" fillId="0" borderId="6" xfId="1" applyFont="1" applyFill="1" applyBorder="1" applyAlignment="1">
      <alignment horizontal="center" vertical="center" wrapText="1"/>
    </xf>
    <xf numFmtId="9" fontId="25" fillId="0" borderId="42" xfId="2" applyFont="1" applyFill="1" applyBorder="1" applyAlignment="1">
      <alignment horizontal="center" vertical="center" wrapText="1"/>
    </xf>
    <xf numFmtId="164" fontId="18" fillId="0" borderId="58" xfId="0" applyNumberFormat="1" applyFont="1" applyBorder="1" applyAlignment="1">
      <alignment vertical="center" wrapText="1"/>
    </xf>
    <xf numFmtId="9" fontId="18" fillId="0" borderId="58" xfId="2" applyFont="1" applyBorder="1" applyAlignment="1">
      <alignment vertical="center" wrapText="1"/>
    </xf>
    <xf numFmtId="167" fontId="4" fillId="0" borderId="7" xfId="1" applyNumberFormat="1" applyFont="1" applyBorder="1" applyAlignment="1">
      <alignment horizontal="center" vertical="center" wrapText="1"/>
    </xf>
    <xf numFmtId="167" fontId="4" fillId="0" borderId="8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43" fontId="10" fillId="0" borderId="29" xfId="1" applyFont="1" applyFill="1" applyBorder="1" applyAlignment="1">
      <alignment horizontal="center" vertical="center" wrapText="1"/>
    </xf>
    <xf numFmtId="9" fontId="4" fillId="0" borderId="15" xfId="2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vertical="center" wrapText="1"/>
    </xf>
    <xf numFmtId="43" fontId="4" fillId="0" borderId="45" xfId="1" applyFont="1" applyBorder="1" applyAlignment="1">
      <alignment vertical="top" wrapText="1"/>
    </xf>
    <xf numFmtId="9" fontId="4" fillId="0" borderId="58" xfId="2" applyFont="1" applyBorder="1" applyAlignment="1">
      <alignment vertical="center" wrapText="1"/>
    </xf>
    <xf numFmtId="9" fontId="4" fillId="0" borderId="0" xfId="2" applyFont="1" applyFill="1" applyBorder="1" applyAlignment="1">
      <alignment horizontal="center" vertical="center" wrapText="1"/>
    </xf>
    <xf numFmtId="0" fontId="26" fillId="0" borderId="0" xfId="0" applyFont="1"/>
    <xf numFmtId="43" fontId="13" fillId="0" borderId="0" xfId="1" applyFont="1" applyFill="1" applyBorder="1" applyAlignment="1">
      <alignment vertical="center" wrapText="1"/>
    </xf>
    <xf numFmtId="9" fontId="4" fillId="0" borderId="0" xfId="1" applyNumberFormat="1" applyFont="1" applyFill="1" applyBorder="1" applyAlignment="1">
      <alignment horizontal="center" vertical="center" wrapText="1"/>
    </xf>
    <xf numFmtId="1" fontId="28" fillId="4" borderId="33" xfId="0" applyNumberFormat="1" applyFont="1" applyFill="1" applyBorder="1" applyAlignment="1">
      <alignment horizontal="center" vertical="top" wrapText="1"/>
    </xf>
    <xf numFmtId="1" fontId="28" fillId="4" borderId="20" xfId="0" applyNumberFormat="1" applyFont="1" applyFill="1" applyBorder="1" applyAlignment="1">
      <alignment horizontal="center" vertical="top" wrapText="1"/>
    </xf>
    <xf numFmtId="49" fontId="2" fillId="0" borderId="0" xfId="1" applyNumberFormat="1" applyFont="1" applyFill="1" applyBorder="1" applyAlignment="1">
      <alignment vertical="center" wrapText="1"/>
    </xf>
    <xf numFmtId="0" fontId="4" fillId="0" borderId="0" xfId="0" applyFont="1"/>
    <xf numFmtId="0" fontId="14" fillId="0" borderId="0" xfId="0" applyFont="1" applyAlignment="1">
      <alignment horizontal="center" vertical="center" wrapText="1"/>
    </xf>
    <xf numFmtId="165" fontId="4" fillId="3" borderId="1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64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top" wrapText="1"/>
    </xf>
    <xf numFmtId="0" fontId="2" fillId="0" borderId="65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43" fontId="10" fillId="3" borderId="67" xfId="1" applyFont="1" applyFill="1" applyBorder="1" applyAlignment="1">
      <alignment vertical="center" wrapText="1"/>
    </xf>
    <xf numFmtId="43" fontId="10" fillId="3" borderId="61" xfId="1" applyFont="1" applyFill="1" applyBorder="1" applyAlignment="1">
      <alignment vertical="center" wrapText="1"/>
    </xf>
    <xf numFmtId="43" fontId="10" fillId="3" borderId="62" xfId="1" applyFont="1" applyFill="1" applyBorder="1" applyAlignment="1">
      <alignment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43" fontId="10" fillId="3" borderId="56" xfId="1" applyFont="1" applyFill="1" applyBorder="1" applyAlignment="1">
      <alignment vertical="center" wrapText="1"/>
    </xf>
    <xf numFmtId="43" fontId="10" fillId="3" borderId="57" xfId="1" applyFont="1" applyFill="1" applyBorder="1" applyAlignment="1">
      <alignment vertical="center" wrapText="1"/>
    </xf>
    <xf numFmtId="43" fontId="10" fillId="3" borderId="58" xfId="1" applyFont="1" applyFill="1" applyBorder="1" applyAlignment="1">
      <alignment vertical="center" wrapText="1"/>
    </xf>
    <xf numFmtId="43" fontId="10" fillId="3" borderId="72" xfId="1" applyFont="1" applyFill="1" applyBorder="1" applyAlignment="1">
      <alignment vertical="center" wrapText="1"/>
    </xf>
    <xf numFmtId="43" fontId="9" fillId="0" borderId="57" xfId="1" applyFont="1" applyFill="1" applyBorder="1" applyAlignment="1">
      <alignment horizontal="center" vertical="center" wrapText="1"/>
    </xf>
    <xf numFmtId="9" fontId="9" fillId="0" borderId="72" xfId="2" applyFont="1" applyFill="1" applyBorder="1" applyAlignment="1">
      <alignment horizontal="center" vertical="center" wrapText="1"/>
    </xf>
    <xf numFmtId="9" fontId="9" fillId="0" borderId="58" xfId="2" applyFont="1" applyFill="1" applyBorder="1" applyAlignment="1">
      <alignment horizontal="center" vertical="center" wrapText="1"/>
    </xf>
    <xf numFmtId="43" fontId="9" fillId="0" borderId="61" xfId="1" applyFont="1" applyFill="1" applyBorder="1" applyAlignment="1">
      <alignment horizontal="center" vertical="center" wrapText="1"/>
    </xf>
    <xf numFmtId="9" fontId="9" fillId="0" borderId="62" xfId="2" applyFont="1" applyFill="1" applyBorder="1" applyAlignment="1">
      <alignment horizontal="center" vertical="center" wrapText="1"/>
    </xf>
    <xf numFmtId="9" fontId="9" fillId="0" borderId="68" xfId="2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0" fillId="0" borderId="0" xfId="0" applyNumberFormat="1" applyFont="1" applyAlignment="1">
      <alignment vertical="top" wrapText="1"/>
    </xf>
    <xf numFmtId="43" fontId="10" fillId="0" borderId="56" xfId="1" applyFont="1" applyFill="1" applyBorder="1" applyAlignment="1">
      <alignment horizontal="center" vertical="center" wrapText="1"/>
    </xf>
    <xf numFmtId="9" fontId="4" fillId="0" borderId="58" xfId="2" applyFont="1" applyFill="1" applyBorder="1" applyAlignment="1">
      <alignment horizontal="center" vertical="center" wrapText="1"/>
    </xf>
    <xf numFmtId="165" fontId="4" fillId="0" borderId="38" xfId="1" applyNumberFormat="1" applyFont="1" applyFill="1" applyBorder="1" applyAlignment="1">
      <alignment horizontal="center" vertical="center"/>
    </xf>
    <xf numFmtId="164" fontId="0" fillId="0" borderId="0" xfId="0" applyNumberFormat="1"/>
    <xf numFmtId="9" fontId="4" fillId="0" borderId="73" xfId="2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9" fontId="4" fillId="0" borderId="72" xfId="2" applyFont="1" applyFill="1" applyBorder="1" applyAlignment="1">
      <alignment horizontal="center" vertical="center" wrapText="1"/>
    </xf>
    <xf numFmtId="165" fontId="4" fillId="0" borderId="38" xfId="1" applyNumberFormat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5" fontId="4" fillId="0" borderId="72" xfId="1" applyNumberFormat="1" applyFont="1" applyFill="1" applyBorder="1" applyAlignment="1">
      <alignment horizontal="center" vertical="center" wrapText="1"/>
    </xf>
    <xf numFmtId="165" fontId="4" fillId="0" borderId="60" xfId="1" applyNumberFormat="1" applyFont="1" applyFill="1" applyBorder="1" applyAlignment="1">
      <alignment horizontal="center" vertical="center" wrapText="1"/>
    </xf>
    <xf numFmtId="43" fontId="4" fillId="0" borderId="38" xfId="1" applyFont="1" applyFill="1" applyBorder="1" applyAlignment="1">
      <alignment horizontal="center" vertical="center" wrapText="1"/>
    </xf>
    <xf numFmtId="43" fontId="4" fillId="0" borderId="72" xfId="1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43" fontId="10" fillId="0" borderId="66" xfId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left" wrapText="1"/>
    </xf>
    <xf numFmtId="43" fontId="10" fillId="0" borderId="5" xfId="1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left" wrapText="1"/>
    </xf>
    <xf numFmtId="0" fontId="11" fillId="0" borderId="33" xfId="0" applyFont="1" applyBorder="1" applyAlignment="1">
      <alignment horizontal="center" vertical="center" wrapText="1"/>
    </xf>
    <xf numFmtId="43" fontId="10" fillId="0" borderId="35" xfId="1" applyFont="1" applyFill="1" applyBorder="1" applyAlignment="1">
      <alignment horizontal="center" vertical="center" wrapText="1"/>
    </xf>
    <xf numFmtId="165" fontId="4" fillId="0" borderId="70" xfId="1" applyNumberFormat="1" applyFont="1" applyFill="1" applyBorder="1" applyAlignment="1">
      <alignment horizontal="center" vertical="center"/>
    </xf>
    <xf numFmtId="43" fontId="4" fillId="0" borderId="57" xfId="1" applyFont="1" applyFill="1" applyBorder="1" applyAlignment="1">
      <alignment horizontal="center" vertical="center"/>
    </xf>
    <xf numFmtId="165" fontId="4" fillId="3" borderId="38" xfId="1" applyNumberFormat="1" applyFont="1" applyFill="1" applyBorder="1" applyAlignment="1">
      <alignment horizontal="center" vertical="center" wrapText="1"/>
    </xf>
    <xf numFmtId="43" fontId="10" fillId="3" borderId="66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vertical="center" wrapText="1"/>
    </xf>
    <xf numFmtId="0" fontId="11" fillId="0" borderId="61" xfId="0" applyFont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65" fontId="4" fillId="0" borderId="57" xfId="1" applyNumberFormat="1" applyFont="1" applyFill="1" applyBorder="1" applyAlignment="1">
      <alignment horizontal="center" vertical="center" wrapText="1"/>
    </xf>
    <xf numFmtId="165" fontId="4" fillId="0" borderId="69" xfId="1" applyNumberFormat="1" applyFont="1" applyFill="1" applyBorder="1" applyAlignment="1">
      <alignment horizontal="center" vertical="center" wrapText="1"/>
    </xf>
    <xf numFmtId="43" fontId="10" fillId="0" borderId="4" xfId="0" applyNumberFormat="1" applyFont="1" applyBorder="1" applyAlignment="1">
      <alignment vertical="top" wrapText="1"/>
    </xf>
    <xf numFmtId="0" fontId="11" fillId="0" borderId="56" xfId="0" applyFont="1" applyBorder="1" applyAlignment="1">
      <alignment horizontal="center" vertical="center" wrapText="1"/>
    </xf>
    <xf numFmtId="43" fontId="10" fillId="0" borderId="75" xfId="1" applyFont="1" applyFill="1" applyBorder="1" applyAlignment="1">
      <alignment vertical="center" wrapText="1"/>
    </xf>
    <xf numFmtId="43" fontId="10" fillId="0" borderId="69" xfId="1" applyFont="1" applyFill="1" applyBorder="1" applyAlignment="1">
      <alignment vertical="center" wrapText="1"/>
    </xf>
    <xf numFmtId="43" fontId="10" fillId="0" borderId="73" xfId="1" applyFont="1" applyFill="1" applyBorder="1" applyAlignment="1">
      <alignment vertical="center" wrapText="1"/>
    </xf>
    <xf numFmtId="43" fontId="10" fillId="0" borderId="71" xfId="0" applyNumberFormat="1" applyFont="1" applyBorder="1" applyAlignment="1">
      <alignment horizontal="center" vertical="center" wrapText="1"/>
    </xf>
    <xf numFmtId="9" fontId="4" fillId="0" borderId="62" xfId="2" applyFont="1" applyFill="1" applyBorder="1" applyAlignment="1">
      <alignment horizontal="center" vertical="center" wrapText="1"/>
    </xf>
    <xf numFmtId="43" fontId="4" fillId="0" borderId="69" xfId="1" applyFont="1" applyFill="1" applyBorder="1" applyAlignment="1">
      <alignment horizontal="center" vertical="center" wrapText="1"/>
    </xf>
    <xf numFmtId="43" fontId="4" fillId="0" borderId="57" xfId="1" applyFont="1" applyFill="1" applyBorder="1" applyAlignment="1">
      <alignment horizontal="center" vertical="center" wrapText="1"/>
    </xf>
    <xf numFmtId="43" fontId="10" fillId="0" borderId="35" xfId="1" applyFont="1" applyFill="1" applyBorder="1" applyAlignment="1">
      <alignment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43" fontId="10" fillId="0" borderId="70" xfId="1" applyFont="1" applyFill="1" applyBorder="1" applyAlignment="1">
      <alignment vertical="center" wrapText="1"/>
    </xf>
    <xf numFmtId="43" fontId="10" fillId="0" borderId="69" xfId="0" applyNumberFormat="1" applyFont="1" applyBorder="1" applyAlignment="1">
      <alignment vertical="top" wrapText="1"/>
    </xf>
    <xf numFmtId="43" fontId="10" fillId="0" borderId="71" xfId="1" applyFont="1" applyFill="1" applyBorder="1" applyAlignment="1">
      <alignment vertical="center" wrapText="1"/>
    </xf>
    <xf numFmtId="0" fontId="11" fillId="0" borderId="58" xfId="0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left" wrapText="1"/>
    </xf>
    <xf numFmtId="4" fontId="6" fillId="0" borderId="70" xfId="0" applyNumberFormat="1" applyFont="1" applyBorder="1" applyAlignment="1">
      <alignment horizontal="left" wrapText="1"/>
    </xf>
    <xf numFmtId="4" fontId="6" fillId="0" borderId="69" xfId="0" applyNumberFormat="1" applyFont="1" applyBorder="1" applyAlignment="1">
      <alignment horizontal="left" wrapText="1"/>
    </xf>
    <xf numFmtId="43" fontId="10" fillId="3" borderId="5" xfId="1" applyFont="1" applyFill="1" applyBorder="1" applyAlignment="1">
      <alignment vertical="center" wrapText="1"/>
    </xf>
    <xf numFmtId="43" fontId="10" fillId="3" borderId="60" xfId="1" applyFont="1" applyFill="1" applyBorder="1" applyAlignment="1">
      <alignment vertical="center" wrapText="1"/>
    </xf>
    <xf numFmtId="0" fontId="11" fillId="3" borderId="33" xfId="0" applyFont="1" applyFill="1" applyBorder="1" applyAlignment="1">
      <alignment horizontal="center" vertical="center" wrapText="1"/>
    </xf>
    <xf numFmtId="43" fontId="10" fillId="3" borderId="59" xfId="1" applyFont="1" applyFill="1" applyBorder="1" applyAlignment="1">
      <alignment vertical="center" wrapText="1"/>
    </xf>
    <xf numFmtId="43" fontId="10" fillId="0" borderId="59" xfId="1" applyFont="1" applyFill="1" applyBorder="1" applyAlignment="1">
      <alignment vertical="center" wrapText="1"/>
    </xf>
    <xf numFmtId="43" fontId="10" fillId="0" borderId="61" xfId="1" applyFont="1" applyFill="1" applyBorder="1" applyAlignment="1">
      <alignment vertical="center" wrapText="1"/>
    </xf>
    <xf numFmtId="43" fontId="10" fillId="0" borderId="62" xfId="1" applyFont="1" applyFill="1" applyBorder="1" applyAlignment="1">
      <alignment vertical="center" wrapText="1"/>
    </xf>
    <xf numFmtId="43" fontId="10" fillId="0" borderId="68" xfId="0" applyNumberFormat="1" applyFont="1" applyBorder="1" applyAlignment="1">
      <alignment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165" fontId="9" fillId="0" borderId="60" xfId="1" applyNumberFormat="1" applyFont="1" applyFill="1" applyBorder="1" applyAlignment="1">
      <alignment horizontal="center" vertical="center" wrapText="1"/>
    </xf>
    <xf numFmtId="165" fontId="9" fillId="0" borderId="59" xfId="1" applyNumberFormat="1" applyFont="1" applyFill="1" applyBorder="1" applyAlignment="1">
      <alignment horizontal="center" vertical="center" wrapText="1"/>
    </xf>
    <xf numFmtId="43" fontId="10" fillId="0" borderId="34" xfId="1" applyFont="1" applyFill="1" applyBorder="1" applyAlignment="1">
      <alignment horizontal="center" vertical="center" wrapText="1"/>
    </xf>
    <xf numFmtId="0" fontId="0" fillId="0" borderId="0" xfId="0" applyBorder="1"/>
    <xf numFmtId="43" fontId="12" fillId="3" borderId="0" xfId="1" applyFont="1" applyFill="1" applyBorder="1" applyAlignment="1">
      <alignment horizontal="center" vertical="center" wrapText="1"/>
    </xf>
    <xf numFmtId="164" fontId="0" fillId="0" borderId="0" xfId="0" applyNumberFormat="1" applyBorder="1"/>
    <xf numFmtId="43" fontId="10" fillId="3" borderId="0" xfId="1" applyFont="1" applyFill="1" applyBorder="1" applyAlignment="1">
      <alignment horizontal="center" vertical="center" wrapText="1"/>
    </xf>
    <xf numFmtId="43" fontId="10" fillId="0" borderId="69" xfId="0" applyNumberFormat="1" applyFont="1" applyBorder="1" applyAlignment="1">
      <alignment horizontal="center" vertical="center" wrapText="1"/>
    </xf>
    <xf numFmtId="43" fontId="10" fillId="0" borderId="45" xfId="1" applyFont="1" applyFill="1" applyBorder="1" applyAlignment="1">
      <alignment vertical="center" wrapText="1"/>
    </xf>
    <xf numFmtId="43" fontId="10" fillId="0" borderId="4" xfId="1" applyFont="1" applyFill="1" applyBorder="1" applyAlignment="1">
      <alignment vertical="center" wrapText="1"/>
    </xf>
    <xf numFmtId="43" fontId="10" fillId="0" borderId="34" xfId="1" applyFont="1" applyFill="1" applyBorder="1" applyAlignment="1">
      <alignment vertical="center" wrapText="1"/>
    </xf>
    <xf numFmtId="43" fontId="10" fillId="0" borderId="61" xfId="0" applyNumberFormat="1" applyFont="1" applyBorder="1" applyAlignment="1">
      <alignment vertical="top" wrapText="1"/>
    </xf>
    <xf numFmtId="43" fontId="10" fillId="0" borderId="68" xfId="1" applyFont="1" applyFill="1" applyBorder="1" applyAlignment="1">
      <alignment vertical="center" wrapText="1"/>
    </xf>
    <xf numFmtId="43" fontId="10" fillId="0" borderId="71" xfId="0" applyNumberFormat="1" applyFont="1" applyBorder="1" applyAlignment="1">
      <alignment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6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1" fillId="0" borderId="4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center" wrapText="1"/>
    </xf>
    <xf numFmtId="43" fontId="10" fillId="0" borderId="58" xfId="0" applyNumberFormat="1" applyFont="1" applyBorder="1" applyAlignment="1">
      <alignment vertical="top" wrapText="1"/>
    </xf>
    <xf numFmtId="43" fontId="10" fillId="0" borderId="60" xfId="1" applyFont="1" applyFill="1" applyBorder="1" applyAlignment="1">
      <alignment vertical="center" wrapText="1"/>
    </xf>
    <xf numFmtId="43" fontId="10" fillId="0" borderId="57" xfId="0" applyNumberFormat="1" applyFont="1" applyBorder="1" applyAlignment="1">
      <alignment vertical="top" wrapText="1"/>
    </xf>
    <xf numFmtId="0" fontId="11" fillId="0" borderId="68" xfId="0" applyFont="1" applyBorder="1" applyAlignment="1">
      <alignment horizontal="center" vertical="center" wrapText="1"/>
    </xf>
    <xf numFmtId="43" fontId="10" fillId="0" borderId="57" xfId="0" applyNumberFormat="1" applyFont="1" applyBorder="1" applyAlignment="1">
      <alignment vertical="center" wrapText="1"/>
    </xf>
    <xf numFmtId="43" fontId="10" fillId="3" borderId="35" xfId="1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 wrapText="1"/>
    </xf>
    <xf numFmtId="43" fontId="10" fillId="3" borderId="70" xfId="1" applyFont="1" applyFill="1" applyBorder="1" applyAlignment="1">
      <alignment vertical="center" wrapText="1"/>
    </xf>
    <xf numFmtId="43" fontId="10" fillId="3" borderId="69" xfId="1" applyFont="1" applyFill="1" applyBorder="1" applyAlignment="1">
      <alignment vertical="center" wrapText="1"/>
    </xf>
    <xf numFmtId="43" fontId="10" fillId="3" borderId="73" xfId="1" applyFont="1" applyFill="1" applyBorder="1" applyAlignment="1">
      <alignment vertical="center" wrapText="1"/>
    </xf>
    <xf numFmtId="43" fontId="10" fillId="3" borderId="71" xfId="0" applyNumberFormat="1" applyFont="1" applyFill="1" applyBorder="1" applyAlignment="1">
      <alignment vertical="top" wrapText="1"/>
    </xf>
    <xf numFmtId="2" fontId="10" fillId="0" borderId="71" xfId="0" applyNumberFormat="1" applyFont="1" applyBorder="1" applyAlignment="1">
      <alignment vertical="top" wrapText="1"/>
    </xf>
    <xf numFmtId="2" fontId="10" fillId="0" borderId="71" xfId="0" applyNumberFormat="1" applyFont="1" applyBorder="1" applyAlignment="1">
      <alignment vertical="center" wrapText="1"/>
    </xf>
    <xf numFmtId="164" fontId="10" fillId="0" borderId="74" xfId="0" applyNumberFormat="1" applyFont="1" applyBorder="1" applyAlignment="1">
      <alignment vertical="top" wrapText="1"/>
    </xf>
    <xf numFmtId="43" fontId="10" fillId="0" borderId="48" xfId="0" applyNumberFormat="1" applyFont="1" applyBorder="1" applyAlignment="1">
      <alignment vertical="top" wrapText="1"/>
    </xf>
    <xf numFmtId="43" fontId="10" fillId="0" borderId="24" xfId="1" applyFont="1" applyFill="1" applyBorder="1" applyAlignment="1">
      <alignment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1" fillId="3" borderId="57" xfId="0" applyFont="1" applyFill="1" applyBorder="1" applyAlignment="1">
      <alignment vertical="center" wrapText="1"/>
    </xf>
    <xf numFmtId="0" fontId="11" fillId="3" borderId="36" xfId="0" applyFont="1" applyFill="1" applyBorder="1" applyAlignment="1">
      <alignment vertical="center" wrapText="1"/>
    </xf>
    <xf numFmtId="0" fontId="11" fillId="3" borderId="72" xfId="0" applyFont="1" applyFill="1" applyBorder="1" applyAlignment="1">
      <alignment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43" fontId="10" fillId="0" borderId="72" xfId="1" applyFont="1" applyFill="1" applyBorder="1" applyAlignment="1">
      <alignment vertical="center" wrapText="1"/>
    </xf>
    <xf numFmtId="2" fontId="10" fillId="0" borderId="57" xfId="0" applyNumberFormat="1" applyFont="1" applyBorder="1" applyAlignment="1">
      <alignment vertical="top" wrapText="1"/>
    </xf>
    <xf numFmtId="43" fontId="10" fillId="3" borderId="36" xfId="1" applyFont="1" applyFill="1" applyBorder="1" applyAlignment="1">
      <alignment vertical="center" wrapText="1"/>
    </xf>
    <xf numFmtId="0" fontId="5" fillId="3" borderId="60" xfId="0" applyFont="1" applyFill="1" applyBorder="1" applyAlignment="1">
      <alignment horizontal="center" vertical="center" wrapText="1"/>
    </xf>
    <xf numFmtId="43" fontId="4" fillId="3" borderId="36" xfId="1" applyFont="1" applyFill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4" fontId="10" fillId="0" borderId="32" xfId="0" applyNumberFormat="1" applyFont="1" applyBorder="1" applyAlignment="1">
      <alignment vertical="top" wrapText="1"/>
    </xf>
    <xf numFmtId="165" fontId="4" fillId="0" borderId="70" xfId="1" applyNumberFormat="1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left" vertical="center" wrapText="1"/>
    </xf>
    <xf numFmtId="0" fontId="6" fillId="0" borderId="60" xfId="3" applyFont="1" applyBorder="1" applyAlignment="1">
      <alignment horizontal="left" vertical="center" wrapText="1"/>
    </xf>
    <xf numFmtId="0" fontId="6" fillId="0" borderId="57" xfId="3" applyFont="1" applyBorder="1" applyAlignment="1">
      <alignment horizontal="left" vertical="center" wrapText="1"/>
    </xf>
    <xf numFmtId="0" fontId="6" fillId="0" borderId="72" xfId="3" applyFont="1" applyBorder="1" applyAlignment="1">
      <alignment horizontal="left" vertical="center" wrapText="1"/>
    </xf>
    <xf numFmtId="0" fontId="6" fillId="0" borderId="58" xfId="3" applyFont="1" applyBorder="1" applyAlignment="1">
      <alignment horizontal="left" vertical="center" wrapText="1"/>
    </xf>
    <xf numFmtId="43" fontId="12" fillId="3" borderId="5" xfId="1" applyFont="1" applyFill="1" applyBorder="1" applyAlignment="1">
      <alignment horizontal="center" vertical="center" wrapText="1"/>
    </xf>
    <xf numFmtId="0" fontId="6" fillId="3" borderId="57" xfId="3" applyFont="1" applyFill="1" applyBorder="1" applyAlignment="1">
      <alignment horizontal="left" wrapText="1"/>
    </xf>
    <xf numFmtId="43" fontId="9" fillId="3" borderId="61" xfId="1" applyFont="1" applyFill="1" applyBorder="1" applyAlignment="1">
      <alignment horizontal="center" vertical="center" wrapText="1"/>
    </xf>
    <xf numFmtId="43" fontId="9" fillId="3" borderId="69" xfId="1" applyFont="1" applyFill="1" applyBorder="1" applyAlignment="1">
      <alignment horizontal="center" vertical="center" wrapText="1"/>
    </xf>
    <xf numFmtId="43" fontId="10" fillId="0" borderId="60" xfId="1" applyFont="1" applyFill="1" applyBorder="1" applyAlignment="1">
      <alignment horizontal="center" vertical="center" wrapText="1"/>
    </xf>
    <xf numFmtId="9" fontId="4" fillId="0" borderId="71" xfId="2" applyFont="1" applyFill="1" applyBorder="1" applyAlignment="1">
      <alignment horizontal="center" vertical="center" wrapText="1"/>
    </xf>
    <xf numFmtId="4" fontId="6" fillId="0" borderId="56" xfId="0" applyNumberFormat="1" applyFont="1" applyBorder="1" applyAlignment="1">
      <alignment horizontal="left" wrapText="1"/>
    </xf>
    <xf numFmtId="4" fontId="6" fillId="0" borderId="57" xfId="0" applyNumberFormat="1" applyFont="1" applyBorder="1" applyAlignment="1">
      <alignment horizontal="left" wrapText="1"/>
    </xf>
    <xf numFmtId="4" fontId="6" fillId="0" borderId="72" xfId="0" applyNumberFormat="1" applyFont="1" applyBorder="1" applyAlignment="1">
      <alignment horizontal="left" wrapText="1"/>
    </xf>
    <xf numFmtId="4" fontId="6" fillId="0" borderId="73" xfId="0" applyNumberFormat="1" applyFont="1" applyBorder="1" applyAlignment="1">
      <alignment horizontal="left" wrapText="1"/>
    </xf>
    <xf numFmtId="9" fontId="4" fillId="0" borderId="69" xfId="2" applyFont="1" applyFill="1" applyBorder="1" applyAlignment="1">
      <alignment horizontal="center" vertical="center" wrapText="1"/>
    </xf>
    <xf numFmtId="165" fontId="4" fillId="0" borderId="59" xfId="1" applyNumberFormat="1" applyFont="1" applyFill="1" applyBorder="1" applyAlignment="1">
      <alignment horizontal="center" vertical="center" wrapText="1"/>
    </xf>
    <xf numFmtId="165" fontId="4" fillId="0" borderId="61" xfId="1" applyNumberFormat="1" applyFont="1" applyFill="1" applyBorder="1" applyAlignment="1">
      <alignment horizontal="center" vertical="center" wrapText="1"/>
    </xf>
    <xf numFmtId="43" fontId="4" fillId="0" borderId="61" xfId="1" applyFont="1" applyFill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left" wrapText="1"/>
    </xf>
    <xf numFmtId="9" fontId="4" fillId="0" borderId="57" xfId="2" applyFont="1" applyFill="1" applyBorder="1" applyAlignment="1">
      <alignment horizontal="center" vertical="center" wrapText="1"/>
    </xf>
    <xf numFmtId="165" fontId="4" fillId="0" borderId="56" xfId="1" applyNumberFormat="1" applyFont="1" applyFill="1" applyBorder="1" applyAlignment="1">
      <alignment horizontal="center" vertical="center" wrapText="1"/>
    </xf>
    <xf numFmtId="4" fontId="6" fillId="0" borderId="58" xfId="0" applyNumberFormat="1" applyFont="1" applyBorder="1" applyAlignment="1">
      <alignment horizontal="left" wrapText="1"/>
    </xf>
    <xf numFmtId="165" fontId="4" fillId="0" borderId="75" xfId="1" applyNumberFormat="1" applyFont="1" applyFill="1" applyBorder="1" applyAlignment="1">
      <alignment horizontal="center" vertical="center" wrapText="1"/>
    </xf>
    <xf numFmtId="9" fontId="4" fillId="0" borderId="61" xfId="2" applyFont="1" applyFill="1" applyBorder="1" applyAlignment="1">
      <alignment horizontal="center" vertical="center" wrapText="1"/>
    </xf>
    <xf numFmtId="4" fontId="6" fillId="0" borderId="55" xfId="0" applyNumberFormat="1" applyFont="1" applyBorder="1" applyAlignment="1">
      <alignment horizontal="left" wrapText="1"/>
    </xf>
    <xf numFmtId="4" fontId="6" fillId="0" borderId="46" xfId="0" applyNumberFormat="1" applyFont="1" applyBorder="1" applyAlignment="1">
      <alignment horizontal="left" wrapText="1"/>
    </xf>
    <xf numFmtId="43" fontId="10" fillId="0" borderId="21" xfId="1" applyFont="1" applyFill="1" applyBorder="1" applyAlignment="1">
      <alignment horizontal="center" vertical="center" wrapText="1"/>
    </xf>
    <xf numFmtId="43" fontId="4" fillId="0" borderId="69" xfId="1" applyFont="1" applyFill="1" applyBorder="1" applyAlignment="1">
      <alignment vertical="center" wrapText="1"/>
    </xf>
    <xf numFmtId="43" fontId="4" fillId="0" borderId="57" xfId="1" applyFont="1" applyFill="1" applyBorder="1" applyAlignment="1">
      <alignment vertical="center" wrapText="1"/>
    </xf>
    <xf numFmtId="4" fontId="6" fillId="0" borderId="21" xfId="0" applyNumberFormat="1" applyFont="1" applyBorder="1" applyAlignment="1">
      <alignment horizontal="left" wrapText="1"/>
    </xf>
    <xf numFmtId="43" fontId="4" fillId="0" borderId="70" xfId="1" applyFont="1" applyFill="1" applyBorder="1" applyAlignment="1">
      <alignment horizontal="center" vertical="center" wrapText="1"/>
    </xf>
    <xf numFmtId="4" fontId="6" fillId="0" borderId="57" xfId="0" applyNumberFormat="1" applyFont="1" applyBorder="1" applyAlignment="1">
      <alignment horizontal="left" vertical="center" wrapText="1"/>
    </xf>
    <xf numFmtId="4" fontId="6" fillId="0" borderId="33" xfId="0" applyNumberFormat="1" applyFont="1" applyBorder="1" applyAlignment="1">
      <alignment horizontal="left" wrapText="1"/>
    </xf>
    <xf numFmtId="4" fontId="6" fillId="3" borderId="33" xfId="0" applyNumberFormat="1" applyFont="1" applyFill="1" applyBorder="1" applyAlignment="1">
      <alignment horizontal="left" wrapText="1"/>
    </xf>
    <xf numFmtId="4" fontId="6" fillId="0" borderId="76" xfId="0" applyNumberFormat="1" applyFont="1" applyBorder="1" applyAlignment="1">
      <alignment horizontal="left" wrapText="1"/>
    </xf>
    <xf numFmtId="4" fontId="6" fillId="3" borderId="30" xfId="0" applyNumberFormat="1" applyFont="1" applyFill="1" applyBorder="1" applyAlignment="1">
      <alignment horizontal="left" wrapText="1"/>
    </xf>
    <xf numFmtId="4" fontId="6" fillId="3" borderId="57" xfId="0" applyNumberFormat="1" applyFont="1" applyFill="1" applyBorder="1" applyAlignment="1">
      <alignment horizontal="left" wrapText="1"/>
    </xf>
    <xf numFmtId="4" fontId="6" fillId="0" borderId="13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left" vertical="center" wrapText="1"/>
    </xf>
    <xf numFmtId="43" fontId="10" fillId="0" borderId="75" xfId="1" applyFont="1" applyFill="1" applyBorder="1" applyAlignment="1">
      <alignment horizontal="center" vertical="center" wrapText="1"/>
    </xf>
    <xf numFmtId="43" fontId="4" fillId="0" borderId="69" xfId="1" applyFont="1" applyFill="1" applyBorder="1" applyAlignment="1">
      <alignment horizontal="center" vertical="center"/>
    </xf>
    <xf numFmtId="43" fontId="10" fillId="0" borderId="22" xfId="1" applyFont="1" applyFill="1" applyBorder="1" applyAlignment="1">
      <alignment horizontal="center" vertical="center" wrapText="1"/>
    </xf>
    <xf numFmtId="165" fontId="4" fillId="0" borderId="60" xfId="1" applyNumberFormat="1" applyFont="1" applyFill="1" applyBorder="1" applyAlignment="1">
      <alignment horizontal="center" vertical="center"/>
    </xf>
    <xf numFmtId="43" fontId="4" fillId="0" borderId="62" xfId="1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left" wrapText="1"/>
    </xf>
    <xf numFmtId="0" fontId="19" fillId="3" borderId="60" xfId="3" applyFont="1" applyFill="1" applyBorder="1" applyAlignment="1">
      <alignment horizontal="left" vertical="center" wrapText="1"/>
    </xf>
    <xf numFmtId="0" fontId="19" fillId="3" borderId="57" xfId="3" applyFont="1" applyFill="1" applyBorder="1" applyAlignment="1">
      <alignment horizontal="left" vertical="center" wrapText="1"/>
    </xf>
    <xf numFmtId="43" fontId="10" fillId="3" borderId="35" xfId="1" applyFont="1" applyFill="1" applyBorder="1" applyAlignment="1">
      <alignment horizontal="center" vertical="center" wrapText="1"/>
    </xf>
    <xf numFmtId="165" fontId="4" fillId="3" borderId="70" xfId="1" applyNumberFormat="1" applyFont="1" applyFill="1" applyBorder="1" applyAlignment="1">
      <alignment horizontal="center" vertical="center" wrapText="1"/>
    </xf>
    <xf numFmtId="165" fontId="4" fillId="3" borderId="69" xfId="1" applyNumberFormat="1" applyFont="1" applyFill="1" applyBorder="1" applyAlignment="1">
      <alignment horizontal="center" vertical="center" wrapText="1"/>
    </xf>
    <xf numFmtId="43" fontId="10" fillId="3" borderId="5" xfId="1" applyFont="1" applyFill="1" applyBorder="1" applyAlignment="1">
      <alignment horizontal="center" vertical="center" wrapText="1"/>
    </xf>
    <xf numFmtId="165" fontId="4" fillId="3" borderId="60" xfId="1" applyNumberFormat="1" applyFont="1" applyFill="1" applyBorder="1" applyAlignment="1">
      <alignment horizontal="center" vertical="center" wrapText="1"/>
    </xf>
    <xf numFmtId="165" fontId="4" fillId="3" borderId="57" xfId="1" applyNumberFormat="1" applyFont="1" applyFill="1" applyBorder="1" applyAlignment="1">
      <alignment horizontal="center" vertical="center" wrapText="1"/>
    </xf>
    <xf numFmtId="4" fontId="28" fillId="0" borderId="0" xfId="0" applyNumberFormat="1" applyFont="1" applyBorder="1" applyAlignment="1">
      <alignment horizontal="center" vertical="top" wrapText="1"/>
    </xf>
    <xf numFmtId="4" fontId="10" fillId="0" borderId="73" xfId="0" applyNumberFormat="1" applyFont="1" applyBorder="1" applyAlignment="1">
      <alignment vertical="top" wrapText="1"/>
    </xf>
    <xf numFmtId="4" fontId="10" fillId="0" borderId="58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vertical="top" wrapText="1"/>
    </xf>
    <xf numFmtId="4" fontId="10" fillId="0" borderId="60" xfId="0" applyNumberFormat="1" applyFont="1" applyBorder="1" applyAlignment="1">
      <alignment vertical="top" wrapText="1"/>
    </xf>
    <xf numFmtId="43" fontId="12" fillId="0" borderId="35" xfId="1" applyFont="1" applyFill="1" applyBorder="1" applyAlignment="1">
      <alignment horizontal="center" vertical="center" wrapText="1"/>
    </xf>
    <xf numFmtId="43" fontId="12" fillId="0" borderId="31" xfId="1" applyFont="1" applyFill="1" applyBorder="1" applyAlignment="1">
      <alignment horizontal="center" vertical="center" wrapText="1"/>
    </xf>
    <xf numFmtId="43" fontId="9" fillId="0" borderId="72" xfId="1" applyFont="1" applyFill="1" applyBorder="1" applyAlignment="1">
      <alignment horizontal="center" vertical="center" wrapText="1"/>
    </xf>
    <xf numFmtId="2" fontId="4" fillId="0" borderId="11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9" fillId="3" borderId="69" xfId="3" applyFont="1" applyFill="1" applyBorder="1" applyAlignment="1">
      <alignment horizontal="left" vertical="center" wrapText="1"/>
    </xf>
    <xf numFmtId="43" fontId="9" fillId="0" borderId="70" xfId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43" fontId="10" fillId="3" borderId="30" xfId="1" applyFont="1" applyFill="1" applyBorder="1" applyAlignment="1">
      <alignment vertical="center" wrapText="1"/>
    </xf>
    <xf numFmtId="2" fontId="10" fillId="0" borderId="71" xfId="0" applyNumberFormat="1" applyFont="1" applyBorder="1" applyAlignment="1">
      <alignment horizontal="right" vertical="center" wrapText="1"/>
    </xf>
    <xf numFmtId="2" fontId="10" fillId="0" borderId="35" xfId="0" applyNumberFormat="1" applyFont="1" applyBorder="1" applyAlignment="1">
      <alignment vertical="top" wrapText="1"/>
    </xf>
    <xf numFmtId="2" fontId="2" fillId="0" borderId="0" xfId="1" applyNumberFormat="1" applyFont="1" applyFill="1" applyBorder="1" applyAlignment="1">
      <alignment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2" fontId="28" fillId="4" borderId="5" xfId="0" applyNumberFormat="1" applyFont="1" applyFill="1" applyBorder="1" applyAlignment="1">
      <alignment horizontal="center" vertical="top" wrapText="1"/>
    </xf>
    <xf numFmtId="43" fontId="9" fillId="0" borderId="38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4" fillId="0" borderId="54" xfId="2" applyFont="1" applyFill="1" applyBorder="1" applyAlignment="1">
      <alignment horizontal="center" vertical="center" wrapText="1"/>
    </xf>
    <xf numFmtId="9" fontId="4" fillId="0" borderId="36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9" fontId="4" fillId="0" borderId="58" xfId="2" applyFont="1" applyFill="1" applyBorder="1" applyAlignment="1">
      <alignment horizontal="center" vertical="center" wrapText="1"/>
    </xf>
    <xf numFmtId="9" fontId="4" fillId="0" borderId="72" xfId="2" applyFont="1" applyFill="1" applyBorder="1" applyAlignment="1">
      <alignment horizontal="center" vertical="center" wrapText="1"/>
    </xf>
    <xf numFmtId="9" fontId="4" fillId="0" borderId="27" xfId="2" applyFont="1" applyFill="1" applyBorder="1" applyAlignment="1">
      <alignment horizontal="center" vertical="center" wrapText="1"/>
    </xf>
    <xf numFmtId="9" fontId="4" fillId="0" borderId="52" xfId="2" applyFont="1" applyFill="1" applyBorder="1" applyAlignment="1">
      <alignment horizontal="center" vertical="center" wrapText="1"/>
    </xf>
    <xf numFmtId="43" fontId="4" fillId="0" borderId="72" xfId="1" applyFont="1" applyFill="1" applyBorder="1" applyAlignment="1">
      <alignment horizontal="center" vertical="center" wrapText="1"/>
    </xf>
    <xf numFmtId="43" fontId="4" fillId="0" borderId="60" xfId="1" applyFont="1" applyFill="1" applyBorder="1" applyAlignment="1">
      <alignment horizontal="center" vertical="center" wrapText="1"/>
    </xf>
    <xf numFmtId="43" fontId="4" fillId="0" borderId="73" xfId="1" applyFont="1" applyFill="1" applyBorder="1" applyAlignment="1">
      <alignment horizontal="center" vertical="center" wrapText="1"/>
    </xf>
    <xf numFmtId="43" fontId="4" fillId="0" borderId="70" xfId="1" applyFont="1" applyFill="1" applyBorder="1" applyAlignment="1">
      <alignment horizontal="center" vertical="center" wrapText="1"/>
    </xf>
    <xf numFmtId="165" fontId="4" fillId="0" borderId="60" xfId="1" applyNumberFormat="1" applyFont="1" applyFill="1" applyBorder="1" applyAlignment="1">
      <alignment horizontal="center" vertical="center" wrapText="1"/>
    </xf>
    <xf numFmtId="165" fontId="4" fillId="0" borderId="70" xfId="1" applyNumberFormat="1" applyFont="1" applyFill="1" applyBorder="1" applyAlignment="1">
      <alignment horizontal="center" vertical="center" wrapText="1"/>
    </xf>
    <xf numFmtId="9" fontId="12" fillId="0" borderId="5" xfId="2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left" wrapText="1"/>
    </xf>
    <xf numFmtId="43" fontId="12" fillId="0" borderId="56" xfId="1" applyFont="1" applyFill="1" applyBorder="1" applyAlignment="1">
      <alignment horizontal="center" vertical="center" wrapText="1"/>
    </xf>
    <xf numFmtId="43" fontId="12" fillId="0" borderId="75" xfId="1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43" fontId="12" fillId="0" borderId="21" xfId="1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6" fillId="0" borderId="69" xfId="3" applyFont="1" applyFill="1" applyBorder="1" applyAlignment="1">
      <alignment horizontal="left" wrapText="1"/>
    </xf>
    <xf numFmtId="43" fontId="12" fillId="0" borderId="57" xfId="1" applyFont="1" applyFill="1" applyBorder="1" applyAlignment="1">
      <alignment horizontal="center" vertical="center" wrapText="1"/>
    </xf>
    <xf numFmtId="43" fontId="12" fillId="0" borderId="70" xfId="1" applyFont="1" applyFill="1" applyBorder="1" applyAlignment="1">
      <alignment horizontal="center" vertical="center" wrapText="1"/>
    </xf>
    <xf numFmtId="9" fontId="9" fillId="0" borderId="60" xfId="2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9" fontId="4" fillId="0" borderId="70" xfId="2" applyFont="1" applyFill="1" applyBorder="1" applyAlignment="1">
      <alignment horizontal="center" vertical="center" wrapText="1"/>
    </xf>
    <xf numFmtId="9" fontId="4" fillId="0" borderId="38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4" fontId="6" fillId="0" borderId="0" xfId="0" applyNumberFormat="1" applyFont="1" applyBorder="1" applyAlignment="1">
      <alignment horizontal="left" wrapText="1"/>
    </xf>
    <xf numFmtId="43" fontId="10" fillId="3" borderId="4" xfId="1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left" wrapText="1"/>
    </xf>
    <xf numFmtId="0" fontId="0" fillId="0" borderId="0" xfId="0" applyFill="1"/>
    <xf numFmtId="4" fontId="6" fillId="0" borderId="59" xfId="0" applyNumberFormat="1" applyFont="1" applyFill="1" applyBorder="1" applyAlignment="1">
      <alignment horizontal="left" wrapText="1"/>
    </xf>
    <xf numFmtId="0" fontId="0" fillId="0" borderId="0" xfId="0" applyFill="1" applyBorder="1"/>
    <xf numFmtId="4" fontId="6" fillId="0" borderId="61" xfId="0" applyNumberFormat="1" applyFont="1" applyFill="1" applyBorder="1" applyAlignment="1">
      <alignment horizontal="left" wrapText="1"/>
    </xf>
    <xf numFmtId="43" fontId="10" fillId="0" borderId="69" xfId="0" applyNumberFormat="1" applyFont="1" applyFill="1" applyBorder="1" applyAlignment="1">
      <alignment vertical="top" wrapText="1"/>
    </xf>
    <xf numFmtId="4" fontId="6" fillId="0" borderId="62" xfId="0" applyNumberFormat="1" applyFont="1" applyFill="1" applyBorder="1" applyAlignment="1">
      <alignment horizontal="left" wrapText="1"/>
    </xf>
    <xf numFmtId="0" fontId="11" fillId="0" borderId="33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left" wrapText="1"/>
    </xf>
    <xf numFmtId="4" fontId="6" fillId="0" borderId="11" xfId="0" applyNumberFormat="1" applyFont="1" applyFill="1" applyBorder="1" applyAlignment="1">
      <alignment horizontal="left" wrapText="1"/>
    </xf>
    <xf numFmtId="0" fontId="11" fillId="0" borderId="22" xfId="0" applyFont="1" applyFill="1" applyBorder="1" applyAlignment="1">
      <alignment horizontal="center" vertical="center" wrapText="1"/>
    </xf>
    <xf numFmtId="43" fontId="10" fillId="0" borderId="48" xfId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horizontal="left" wrapText="1"/>
    </xf>
    <xf numFmtId="4" fontId="6" fillId="0" borderId="56" xfId="0" applyNumberFormat="1" applyFont="1" applyFill="1" applyBorder="1" applyAlignment="1">
      <alignment horizontal="left" wrapText="1"/>
    </xf>
    <xf numFmtId="4" fontId="6" fillId="0" borderId="57" xfId="0" applyNumberFormat="1" applyFont="1" applyFill="1" applyBorder="1" applyAlignment="1">
      <alignment horizontal="left" wrapText="1"/>
    </xf>
    <xf numFmtId="0" fontId="11" fillId="0" borderId="36" xfId="0" applyFont="1" applyFill="1" applyBorder="1" applyAlignment="1">
      <alignment horizontal="center" vertical="center" wrapText="1"/>
    </xf>
    <xf numFmtId="4" fontId="6" fillId="0" borderId="58" xfId="0" applyNumberFormat="1" applyFont="1" applyFill="1" applyBorder="1" applyAlignment="1">
      <alignment horizontal="left" wrapText="1"/>
    </xf>
    <xf numFmtId="164" fontId="10" fillId="0" borderId="35" xfId="0" applyNumberFormat="1" applyFont="1" applyFill="1" applyBorder="1" applyAlignment="1">
      <alignment vertical="top" wrapText="1"/>
    </xf>
    <xf numFmtId="4" fontId="6" fillId="0" borderId="33" xfId="0" applyNumberFormat="1" applyFont="1" applyFill="1" applyBorder="1" applyAlignment="1">
      <alignment horizontal="left" vertical="center" wrapText="1"/>
    </xf>
    <xf numFmtId="43" fontId="10" fillId="0" borderId="56" xfId="0" applyNumberFormat="1" applyFont="1" applyFill="1" applyBorder="1" applyAlignment="1">
      <alignment vertical="top" wrapText="1"/>
    </xf>
    <xf numFmtId="4" fontId="6" fillId="0" borderId="61" xfId="0" applyNumberFormat="1" applyFont="1" applyFill="1" applyBorder="1" applyAlignment="1">
      <alignment horizontal="left" vertical="center" wrapText="1"/>
    </xf>
    <xf numFmtId="165" fontId="4" fillId="0" borderId="60" xfId="1" applyNumberFormat="1" applyFont="1" applyFill="1" applyBorder="1" applyAlignment="1">
      <alignment vertical="center"/>
    </xf>
    <xf numFmtId="165" fontId="4" fillId="0" borderId="75" xfId="1" applyNumberFormat="1" applyFont="1" applyFill="1" applyBorder="1" applyAlignment="1">
      <alignment vertical="center"/>
    </xf>
    <xf numFmtId="43" fontId="4" fillId="0" borderId="73" xfId="1" applyFont="1" applyFill="1" applyBorder="1" applyAlignment="1">
      <alignment horizontal="center" vertical="center"/>
    </xf>
    <xf numFmtId="165" fontId="4" fillId="0" borderId="73" xfId="1" applyNumberFormat="1" applyFont="1" applyFill="1" applyBorder="1" applyAlignment="1">
      <alignment horizontal="center" vertical="center" wrapText="1"/>
    </xf>
    <xf numFmtId="165" fontId="4" fillId="0" borderId="16" xfId="1" applyNumberFormat="1" applyFont="1" applyFill="1" applyBorder="1" applyAlignment="1">
      <alignment horizontal="center" vertical="center" wrapText="1"/>
    </xf>
    <xf numFmtId="0" fontId="19" fillId="0" borderId="72" xfId="3" applyFont="1" applyFill="1" applyBorder="1" applyAlignment="1">
      <alignment horizontal="left" vertical="center" wrapText="1"/>
    </xf>
    <xf numFmtId="0" fontId="19" fillId="0" borderId="5" xfId="3" applyFont="1" applyFill="1" applyBorder="1" applyAlignment="1">
      <alignment horizontal="left" vertical="center" wrapText="1"/>
    </xf>
    <xf numFmtId="0" fontId="19" fillId="0" borderId="60" xfId="3" applyFont="1" applyFill="1" applyBorder="1" applyAlignment="1">
      <alignment horizontal="left" vertical="center" wrapText="1"/>
    </xf>
    <xf numFmtId="0" fontId="19" fillId="0" borderId="57" xfId="3" applyFont="1" applyFill="1" applyBorder="1" applyAlignment="1">
      <alignment horizontal="left" vertical="center" wrapText="1"/>
    </xf>
    <xf numFmtId="43" fontId="4" fillId="0" borderId="16" xfId="1" applyFont="1" applyFill="1" applyBorder="1" applyAlignment="1">
      <alignment horizontal="center" vertical="center" wrapText="1"/>
    </xf>
    <xf numFmtId="0" fontId="19" fillId="0" borderId="55" xfId="3" applyFont="1" applyFill="1" applyBorder="1" applyAlignment="1">
      <alignment horizontal="left" vertical="center" wrapText="1"/>
    </xf>
    <xf numFmtId="0" fontId="19" fillId="0" borderId="46" xfId="3" applyFont="1" applyFill="1" applyBorder="1" applyAlignment="1">
      <alignment horizontal="left" vertical="center" wrapText="1"/>
    </xf>
    <xf numFmtId="43" fontId="4" fillId="0" borderId="66" xfId="1" applyFont="1" applyFill="1" applyBorder="1" applyAlignment="1">
      <alignment horizontal="center" vertical="center" wrapText="1"/>
    </xf>
    <xf numFmtId="4" fontId="6" fillId="0" borderId="60" xfId="0" applyNumberFormat="1" applyFont="1" applyFill="1" applyBorder="1" applyAlignment="1">
      <alignment horizontal="left" wrapText="1"/>
    </xf>
    <xf numFmtId="4" fontId="6" fillId="0" borderId="57" xfId="0" applyNumberFormat="1" applyFont="1" applyBorder="1" applyAlignment="1">
      <alignment horizontal="left" vertical="top" wrapText="1"/>
    </xf>
    <xf numFmtId="4" fontId="6" fillId="0" borderId="71" xfId="0" applyNumberFormat="1" applyFont="1" applyBorder="1" applyAlignment="1">
      <alignment horizontal="left" vertical="top" wrapText="1"/>
    </xf>
    <xf numFmtId="4" fontId="6" fillId="0" borderId="72" xfId="0" applyNumberFormat="1" applyFont="1" applyBorder="1" applyAlignment="1">
      <alignment horizontal="left" wrapText="1"/>
    </xf>
    <xf numFmtId="0" fontId="10" fillId="0" borderId="22" xfId="0" applyFont="1" applyBorder="1" applyAlignment="1">
      <alignment horizontal="center" vertical="center" wrapText="1"/>
    </xf>
    <xf numFmtId="165" fontId="4" fillId="0" borderId="27" xfId="1" applyNumberFormat="1" applyFont="1" applyFill="1" applyBorder="1" applyAlignment="1">
      <alignment horizontal="center" vertical="center" wrapText="1"/>
    </xf>
    <xf numFmtId="9" fontId="4" fillId="0" borderId="5" xfId="2" applyFont="1" applyFill="1" applyBorder="1" applyAlignment="1">
      <alignment horizontal="center" vertical="center" wrapText="1"/>
    </xf>
    <xf numFmtId="4" fontId="10" fillId="0" borderId="22" xfId="0" applyNumberFormat="1" applyFont="1" applyBorder="1" applyAlignment="1">
      <alignment vertical="top" wrapText="1"/>
    </xf>
    <xf numFmtId="1" fontId="4" fillId="0" borderId="5" xfId="2" applyNumberFormat="1" applyFont="1" applyFill="1" applyBorder="1" applyAlignment="1">
      <alignment horizontal="center" vertical="center" wrapText="1"/>
    </xf>
    <xf numFmtId="165" fontId="4" fillId="3" borderId="73" xfId="1" applyNumberFormat="1" applyFont="1" applyFill="1" applyBorder="1" applyAlignment="1">
      <alignment horizontal="center" vertical="center" wrapText="1"/>
    </xf>
    <xf numFmtId="165" fontId="4" fillId="0" borderId="52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center" vertical="center" wrapText="1"/>
    </xf>
    <xf numFmtId="43" fontId="10" fillId="3" borderId="27" xfId="1" applyFont="1" applyFill="1" applyBorder="1" applyAlignment="1">
      <alignment vertical="center" wrapText="1"/>
    </xf>
    <xf numFmtId="43" fontId="10" fillId="3" borderId="21" xfId="1" applyFont="1" applyFill="1" applyBorder="1" applyAlignment="1">
      <alignment vertical="center" wrapText="1"/>
    </xf>
    <xf numFmtId="0" fontId="11" fillId="3" borderId="58" xfId="0" applyFont="1" applyFill="1" applyBorder="1" applyAlignment="1">
      <alignment vertical="center" wrapText="1"/>
    </xf>
    <xf numFmtId="0" fontId="11" fillId="3" borderId="56" xfId="0" applyFont="1" applyFill="1" applyBorder="1" applyAlignment="1">
      <alignment vertical="center" wrapText="1"/>
    </xf>
    <xf numFmtId="9" fontId="4" fillId="0" borderId="22" xfId="2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 wrapText="1"/>
    </xf>
    <xf numFmtId="43" fontId="4" fillId="0" borderId="72" xfId="1" applyFont="1" applyFill="1" applyBorder="1" applyAlignment="1">
      <alignment horizontal="center" vertical="center" wrapText="1"/>
    </xf>
    <xf numFmtId="43" fontId="4" fillId="0" borderId="60" xfId="1" applyFont="1" applyFill="1" applyBorder="1" applyAlignment="1">
      <alignment horizontal="center" vertical="center" wrapText="1"/>
    </xf>
    <xf numFmtId="43" fontId="4" fillId="0" borderId="73" xfId="1" applyFont="1" applyFill="1" applyBorder="1" applyAlignment="1">
      <alignment horizontal="center" vertical="center" wrapText="1"/>
    </xf>
    <xf numFmtId="9" fontId="4" fillId="0" borderId="5" xfId="2" applyFont="1" applyFill="1" applyBorder="1" applyAlignment="1">
      <alignment horizontal="center" vertical="center" wrapText="1"/>
    </xf>
    <xf numFmtId="9" fontId="4" fillId="0" borderId="58" xfId="2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top" wrapText="1"/>
    </xf>
    <xf numFmtId="43" fontId="10" fillId="3" borderId="22" xfId="1" applyFont="1" applyFill="1" applyBorder="1" applyAlignment="1">
      <alignment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" fillId="0" borderId="0" xfId="0" applyFont="1" applyBorder="1"/>
    <xf numFmtId="0" fontId="2" fillId="3" borderId="0" xfId="0" applyFont="1" applyFill="1" applyBorder="1" applyAlignment="1">
      <alignment vertical="top" wrapText="1"/>
    </xf>
    <xf numFmtId="4" fontId="19" fillId="3" borderId="33" xfId="0" applyNumberFormat="1" applyFont="1" applyFill="1" applyBorder="1" applyAlignment="1">
      <alignment horizontal="left" wrapText="1"/>
    </xf>
    <xf numFmtId="0" fontId="19" fillId="3" borderId="55" xfId="3" applyFont="1" applyFill="1" applyBorder="1" applyAlignment="1">
      <alignment horizontal="left" vertical="center" wrapText="1"/>
    </xf>
    <xf numFmtId="43" fontId="10" fillId="3" borderId="20" xfId="1" applyFont="1" applyFill="1" applyBorder="1" applyAlignment="1">
      <alignment vertical="center" wrapText="1"/>
    </xf>
    <xf numFmtId="4" fontId="6" fillId="0" borderId="22" xfId="0" applyNumberFormat="1" applyFont="1" applyFill="1" applyBorder="1" applyAlignment="1">
      <alignment horizontal="left" wrapText="1"/>
    </xf>
    <xf numFmtId="43" fontId="4" fillId="0" borderId="22" xfId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43" fontId="4" fillId="0" borderId="54" xfId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5" fillId="3" borderId="31" xfId="0" applyFont="1" applyFill="1" applyBorder="1" applyAlignment="1">
      <alignment horizontal="center" vertical="center" wrapText="1"/>
    </xf>
    <xf numFmtId="4" fontId="6" fillId="0" borderId="77" xfId="0" applyNumberFormat="1" applyFont="1" applyBorder="1" applyAlignment="1">
      <alignment horizontal="left" wrapText="1"/>
    </xf>
    <xf numFmtId="9" fontId="4" fillId="0" borderId="34" xfId="1" applyNumberFormat="1" applyFont="1" applyFill="1" applyBorder="1" applyAlignment="1">
      <alignment horizontal="center" vertical="center" wrapText="1"/>
    </xf>
    <xf numFmtId="9" fontId="4" fillId="0" borderId="5" xfId="1" applyNumberFormat="1" applyFont="1" applyFill="1" applyBorder="1" applyAlignment="1">
      <alignment horizontal="center" vertical="center" wrapText="1"/>
    </xf>
    <xf numFmtId="9" fontId="4" fillId="0" borderId="33" xfId="1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vertical="center" wrapText="1"/>
    </xf>
    <xf numFmtId="0" fontId="19" fillId="3" borderId="72" xfId="3" applyFont="1" applyFill="1" applyBorder="1" applyAlignment="1">
      <alignment horizontal="left" vertical="center" wrapText="1"/>
    </xf>
    <xf numFmtId="0" fontId="19" fillId="0" borderId="22" xfId="3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4" fontId="10" fillId="0" borderId="36" xfId="0" applyNumberFormat="1" applyFont="1" applyBorder="1" applyAlignment="1">
      <alignment vertical="top" wrapText="1"/>
    </xf>
    <xf numFmtId="4" fontId="10" fillId="0" borderId="72" xfId="0" applyNumberFormat="1" applyFont="1" applyBorder="1" applyAlignment="1">
      <alignment vertical="top" wrapText="1"/>
    </xf>
    <xf numFmtId="4" fontId="6" fillId="0" borderId="58" xfId="0" applyNumberFormat="1" applyFont="1" applyBorder="1" applyAlignment="1">
      <alignment vertical="center" wrapText="1"/>
    </xf>
    <xf numFmtId="9" fontId="4" fillId="0" borderId="22" xfId="2" applyNumberFormat="1" applyFont="1" applyFill="1" applyBorder="1" applyAlignment="1">
      <alignment horizontal="center" vertical="center" wrapText="1"/>
    </xf>
    <xf numFmtId="1" fontId="4" fillId="0" borderId="22" xfId="2" applyNumberFormat="1" applyFont="1" applyFill="1" applyBorder="1" applyAlignment="1">
      <alignment horizontal="center" vertical="center" wrapText="1"/>
    </xf>
    <xf numFmtId="1" fontId="4" fillId="0" borderId="21" xfId="2" applyNumberFormat="1" applyFont="1" applyFill="1" applyBorder="1" applyAlignment="1">
      <alignment horizontal="center" vertical="center" wrapText="1"/>
    </xf>
    <xf numFmtId="1" fontId="4" fillId="0" borderId="58" xfId="2" applyNumberFormat="1" applyFont="1" applyFill="1" applyBorder="1" applyAlignment="1">
      <alignment horizontal="center" vertical="center" wrapText="1"/>
    </xf>
    <xf numFmtId="1" fontId="4" fillId="0" borderId="57" xfId="2" applyNumberFormat="1" applyFont="1" applyFill="1" applyBorder="1" applyAlignment="1">
      <alignment horizontal="center" vertical="center" wrapText="1"/>
    </xf>
    <xf numFmtId="9" fontId="4" fillId="0" borderId="21" xfId="2" applyFont="1" applyFill="1" applyBorder="1" applyAlignment="1">
      <alignment horizontal="center" vertical="center" wrapText="1"/>
    </xf>
    <xf numFmtId="2" fontId="4" fillId="0" borderId="57" xfId="2" applyNumberFormat="1" applyFont="1" applyFill="1" applyBorder="1" applyAlignment="1">
      <alignment horizontal="center" vertical="center" wrapText="1"/>
    </xf>
    <xf numFmtId="2" fontId="10" fillId="0" borderId="5" xfId="2" applyNumberFormat="1" applyFont="1" applyFill="1" applyBorder="1" applyAlignment="1">
      <alignment horizontal="center" vertical="center" wrapText="1"/>
    </xf>
    <xf numFmtId="43" fontId="12" fillId="0" borderId="59" xfId="1" applyFont="1" applyFill="1" applyBorder="1" applyAlignment="1">
      <alignment horizontal="center" vertical="center" wrapText="1"/>
    </xf>
    <xf numFmtId="43" fontId="12" fillId="0" borderId="5" xfId="1" applyFont="1" applyFill="1" applyBorder="1" applyAlignment="1">
      <alignment horizontal="center" vertical="center" wrapText="1"/>
    </xf>
    <xf numFmtId="9" fontId="4" fillId="0" borderId="47" xfId="2" applyFont="1" applyFill="1" applyBorder="1" applyAlignment="1">
      <alignment horizontal="center" vertical="center" wrapText="1"/>
    </xf>
    <xf numFmtId="9" fontId="4" fillId="0" borderId="6" xfId="2" applyFont="1" applyFill="1" applyBorder="1" applyAlignment="1">
      <alignment horizontal="center" vertical="center" wrapText="1"/>
    </xf>
    <xf numFmtId="4" fontId="10" fillId="0" borderId="66" xfId="0" applyNumberFormat="1" applyFont="1" applyFill="1" applyBorder="1" applyAlignment="1">
      <alignment horizontal="left" wrapText="1"/>
    </xf>
    <xf numFmtId="4" fontId="10" fillId="0" borderId="5" xfId="2" applyNumberFormat="1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164" fontId="10" fillId="0" borderId="34" xfId="1" applyNumberFormat="1" applyFont="1" applyFill="1" applyBorder="1" applyAlignment="1">
      <alignment horizontal="center" vertical="center" wrapText="1"/>
    </xf>
    <xf numFmtId="164" fontId="10" fillId="0" borderId="33" xfId="1" applyNumberFormat="1" applyFont="1" applyFill="1" applyBorder="1" applyAlignment="1">
      <alignment horizontal="center" vertical="center" wrapText="1"/>
    </xf>
    <xf numFmtId="169" fontId="10" fillId="0" borderId="9" xfId="1" applyNumberFormat="1" applyFont="1" applyFill="1" applyBorder="1" applyAlignment="1">
      <alignment horizontal="center" vertical="center" wrapText="1"/>
    </xf>
    <xf numFmtId="2" fontId="10" fillId="4" borderId="5" xfId="0" applyNumberFormat="1" applyFont="1" applyFill="1" applyBorder="1" applyAlignment="1">
      <alignment horizontal="center" vertical="top" wrapText="1"/>
    </xf>
    <xf numFmtId="9" fontId="4" fillId="0" borderId="69" xfId="1" applyNumberFormat="1" applyFont="1" applyFill="1" applyBorder="1" applyAlignment="1">
      <alignment horizontal="right" vertical="center" wrapText="1"/>
    </xf>
    <xf numFmtId="9" fontId="4" fillId="0" borderId="13" xfId="2" applyFont="1" applyFill="1" applyBorder="1" applyAlignment="1">
      <alignment horizontal="right" vertical="center" wrapText="1"/>
    </xf>
    <xf numFmtId="4" fontId="6" fillId="0" borderId="72" xfId="0" applyNumberFormat="1" applyFont="1" applyFill="1" applyBorder="1" applyAlignment="1">
      <alignment horizontal="left" wrapText="1"/>
    </xf>
    <xf numFmtId="0" fontId="11" fillId="3" borderId="46" xfId="0" applyFont="1" applyFill="1" applyBorder="1" applyAlignment="1">
      <alignment vertical="center" wrapText="1"/>
    </xf>
    <xf numFmtId="43" fontId="10" fillId="3" borderId="46" xfId="1" applyFont="1" applyFill="1" applyBorder="1" applyAlignment="1">
      <alignment vertical="center" wrapText="1"/>
    </xf>
    <xf numFmtId="0" fontId="19" fillId="0" borderId="76" xfId="3" applyFont="1" applyFill="1" applyBorder="1" applyAlignment="1">
      <alignment horizontal="left" vertical="center" wrapText="1"/>
    </xf>
    <xf numFmtId="43" fontId="4" fillId="0" borderId="46" xfId="1" applyFont="1" applyFill="1" applyBorder="1" applyAlignment="1">
      <alignment horizontal="center" vertical="center" wrapText="1"/>
    </xf>
    <xf numFmtId="9" fontId="10" fillId="0" borderId="33" xfId="2" applyFont="1" applyFill="1" applyBorder="1" applyAlignment="1">
      <alignment horizontal="center" vertical="center" wrapText="1"/>
    </xf>
    <xf numFmtId="9" fontId="10" fillId="0" borderId="5" xfId="2" applyFont="1" applyFill="1" applyBorder="1" applyAlignment="1">
      <alignment horizontal="center" vertical="center" wrapText="1"/>
    </xf>
    <xf numFmtId="9" fontId="4" fillId="0" borderId="63" xfId="2" applyFont="1" applyFill="1" applyBorder="1" applyAlignment="1">
      <alignment horizontal="center" vertical="center" wrapText="1"/>
    </xf>
    <xf numFmtId="9" fontId="4" fillId="0" borderId="47" xfId="2" applyFont="1" applyFill="1" applyBorder="1" applyAlignment="1">
      <alignment horizontal="right" vertical="center" wrapText="1"/>
    </xf>
    <xf numFmtId="9" fontId="4" fillId="0" borderId="58" xfId="2" applyFont="1" applyFill="1" applyBorder="1" applyAlignment="1">
      <alignment horizontal="right" vertical="center" wrapText="1"/>
    </xf>
    <xf numFmtId="165" fontId="4" fillId="3" borderId="56" xfId="1" applyNumberFormat="1" applyFont="1" applyFill="1" applyBorder="1" applyAlignment="1">
      <alignment horizontal="center" vertical="center" wrapText="1"/>
    </xf>
    <xf numFmtId="9" fontId="4" fillId="0" borderId="46" xfId="2" applyFont="1" applyFill="1" applyBorder="1" applyAlignment="1">
      <alignment horizontal="center" vertical="center" wrapText="1"/>
    </xf>
    <xf numFmtId="0" fontId="11" fillId="3" borderId="76" xfId="0" applyFont="1" applyFill="1" applyBorder="1" applyAlignment="1">
      <alignment vertical="center" wrapText="1"/>
    </xf>
    <xf numFmtId="4" fontId="6" fillId="0" borderId="58" xfId="0" applyNumberFormat="1" applyFont="1" applyFill="1" applyBorder="1" applyAlignment="1">
      <alignment vertical="center" wrapText="1"/>
    </xf>
    <xf numFmtId="4" fontId="6" fillId="0" borderId="31" xfId="0" applyNumberFormat="1" applyFont="1" applyFill="1" applyBorder="1" applyAlignment="1">
      <alignment horizontal="left" wrapText="1"/>
    </xf>
    <xf numFmtId="4" fontId="6" fillId="0" borderId="24" xfId="0" applyNumberFormat="1" applyFont="1" applyBorder="1" applyAlignment="1">
      <alignment horizontal="left" wrapText="1"/>
    </xf>
    <xf numFmtId="0" fontId="32" fillId="0" borderId="0" xfId="0" applyFont="1" applyBorder="1"/>
    <xf numFmtId="4" fontId="6" fillId="0" borderId="60" xfId="0" applyNumberFormat="1" applyFont="1" applyBorder="1" applyAlignment="1">
      <alignment horizontal="left" vertical="center" wrapText="1"/>
    </xf>
    <xf numFmtId="9" fontId="31" fillId="0" borderId="70" xfId="2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vertical="center" wrapText="1"/>
    </xf>
    <xf numFmtId="43" fontId="10" fillId="3" borderId="57" xfId="1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vertical="center" wrapText="1"/>
    </xf>
    <xf numFmtId="43" fontId="12" fillId="0" borderId="56" xfId="2" applyNumberFormat="1" applyFont="1" applyFill="1" applyBorder="1" applyAlignment="1">
      <alignment horizontal="center" vertical="center" wrapText="1"/>
    </xf>
    <xf numFmtId="43" fontId="12" fillId="0" borderId="60" xfId="2" applyNumberFormat="1" applyFont="1" applyFill="1" applyBorder="1" applyAlignment="1">
      <alignment horizontal="center" vertical="center" wrapText="1"/>
    </xf>
    <xf numFmtId="169" fontId="9" fillId="0" borderId="56" xfId="1" applyNumberFormat="1" applyFont="1" applyFill="1" applyBorder="1" applyAlignment="1">
      <alignment horizontal="center" vertical="center" wrapText="1"/>
    </xf>
    <xf numFmtId="169" fontId="9" fillId="0" borderId="31" xfId="1" applyNumberFormat="1" applyFont="1" applyFill="1" applyBorder="1" applyAlignment="1">
      <alignment horizontal="center" vertical="center" wrapText="1"/>
    </xf>
    <xf numFmtId="43" fontId="9" fillId="0" borderId="60" xfId="1" applyFont="1" applyFill="1" applyBorder="1" applyAlignment="1">
      <alignment horizontal="center" vertical="center" wrapText="1"/>
    </xf>
    <xf numFmtId="165" fontId="9" fillId="0" borderId="59" xfId="1" applyNumberFormat="1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vertical="center" wrapText="1"/>
    </xf>
    <xf numFmtId="4" fontId="6" fillId="0" borderId="60" xfId="0" applyNumberFormat="1" applyFont="1" applyBorder="1" applyAlignment="1">
      <alignment horizontal="left" wrapText="1"/>
    </xf>
    <xf numFmtId="170" fontId="10" fillId="0" borderId="5" xfId="1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3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6" fillId="0" borderId="72" xfId="0" applyNumberFormat="1" applyFont="1" applyBorder="1" applyAlignment="1">
      <alignment horizontal="left" vertical="center" wrapText="1"/>
    </xf>
    <xf numFmtId="4" fontId="6" fillId="0" borderId="36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 wrapText="1"/>
    </xf>
    <xf numFmtId="9" fontId="4" fillId="0" borderId="52" xfId="2" applyFont="1" applyFill="1" applyBorder="1" applyAlignment="1">
      <alignment horizontal="center" vertical="center" wrapText="1"/>
    </xf>
    <xf numFmtId="9" fontId="4" fillId="0" borderId="54" xfId="2" applyFont="1" applyFill="1" applyBorder="1" applyAlignment="1">
      <alignment horizontal="center" vertical="center" wrapText="1"/>
    </xf>
    <xf numFmtId="4" fontId="6" fillId="0" borderId="76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left" vertical="center" wrapText="1"/>
    </xf>
    <xf numFmtId="4" fontId="6" fillId="0" borderId="20" xfId="0" applyNumberFormat="1" applyFont="1" applyBorder="1" applyAlignment="1">
      <alignment horizontal="left" vertical="center" wrapText="1"/>
    </xf>
    <xf numFmtId="9" fontId="4" fillId="0" borderId="72" xfId="2" applyFont="1" applyFill="1" applyBorder="1" applyAlignment="1">
      <alignment horizontal="center" vertical="center" wrapText="1"/>
    </xf>
    <xf numFmtId="9" fontId="4" fillId="0" borderId="36" xfId="2" applyFont="1" applyFill="1" applyBorder="1" applyAlignment="1">
      <alignment horizontal="center" vertical="center" wrapText="1"/>
    </xf>
    <xf numFmtId="9" fontId="4" fillId="0" borderId="22" xfId="2" applyFont="1" applyFill="1" applyBorder="1" applyAlignment="1">
      <alignment horizontal="center" vertical="center" wrapText="1"/>
    </xf>
    <xf numFmtId="9" fontId="4" fillId="0" borderId="73" xfId="2" applyFont="1" applyFill="1" applyBorder="1" applyAlignment="1">
      <alignment horizontal="center" vertical="center" wrapText="1"/>
    </xf>
    <xf numFmtId="9" fontId="4" fillId="0" borderId="27" xfId="2" applyFont="1" applyFill="1" applyBorder="1" applyAlignment="1">
      <alignment horizontal="center" vertical="center" wrapText="1"/>
    </xf>
    <xf numFmtId="4" fontId="6" fillId="0" borderId="62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18" xfId="0" applyNumberFormat="1" applyFont="1" applyFill="1" applyBorder="1" applyAlignment="1">
      <alignment horizontal="left" vertical="center" wrapText="1"/>
    </xf>
    <xf numFmtId="9" fontId="4" fillId="0" borderId="24" xfId="2" applyFont="1" applyFill="1" applyBorder="1" applyAlignment="1">
      <alignment horizontal="center" vertical="center" wrapText="1"/>
    </xf>
    <xf numFmtId="4" fontId="6" fillId="0" borderId="60" xfId="0" applyNumberFormat="1" applyFont="1" applyBorder="1" applyAlignment="1">
      <alignment horizontal="left" vertical="center" wrapText="1"/>
    </xf>
    <xf numFmtId="4" fontId="6" fillId="0" borderId="72" xfId="0" applyNumberFormat="1" applyFont="1" applyBorder="1" applyAlignment="1">
      <alignment horizontal="left" wrapText="1"/>
    </xf>
    <xf numFmtId="4" fontId="6" fillId="0" borderId="60" xfId="0" applyNumberFormat="1" applyFont="1" applyBorder="1" applyAlignment="1">
      <alignment horizontal="left" wrapText="1"/>
    </xf>
    <xf numFmtId="165" fontId="4" fillId="0" borderId="27" xfId="1" applyNumberFormat="1" applyFont="1" applyFill="1" applyBorder="1" applyAlignment="1">
      <alignment vertical="center" wrapText="1"/>
    </xf>
    <xf numFmtId="165" fontId="4" fillId="0" borderId="70" xfId="1" applyNumberFormat="1" applyFont="1" applyFill="1" applyBorder="1" applyAlignment="1">
      <alignment vertical="center" wrapText="1"/>
    </xf>
    <xf numFmtId="165" fontId="4" fillId="0" borderId="36" xfId="1" applyNumberFormat="1" applyFont="1" applyFill="1" applyBorder="1" applyAlignment="1">
      <alignment vertical="center" wrapText="1"/>
    </xf>
    <xf numFmtId="165" fontId="4" fillId="0" borderId="60" xfId="1" applyNumberFormat="1" applyFont="1" applyFill="1" applyBorder="1" applyAlignment="1">
      <alignment vertical="center" wrapText="1"/>
    </xf>
    <xf numFmtId="43" fontId="4" fillId="0" borderId="73" xfId="1" applyFont="1" applyFill="1" applyBorder="1" applyAlignment="1">
      <alignment horizontal="center" vertical="center" wrapText="1"/>
    </xf>
    <xf numFmtId="43" fontId="4" fillId="0" borderId="70" xfId="1" applyFont="1" applyFill="1" applyBorder="1" applyAlignment="1">
      <alignment horizontal="center" vertical="center" wrapText="1"/>
    </xf>
    <xf numFmtId="43" fontId="4" fillId="0" borderId="72" xfId="1" applyFont="1" applyFill="1" applyBorder="1" applyAlignment="1">
      <alignment horizontal="center" vertical="center" wrapText="1"/>
    </xf>
    <xf numFmtId="43" fontId="4" fillId="0" borderId="60" xfId="1" applyFont="1" applyFill="1" applyBorder="1" applyAlignment="1">
      <alignment horizontal="center" vertical="center" wrapText="1"/>
    </xf>
    <xf numFmtId="165" fontId="4" fillId="0" borderId="36" xfId="1" applyNumberFormat="1" applyFont="1" applyFill="1" applyBorder="1" applyAlignment="1">
      <alignment horizontal="center" vertical="center" wrapText="1"/>
    </xf>
    <xf numFmtId="165" fontId="4" fillId="0" borderId="60" xfId="1" applyNumberFormat="1" applyFont="1" applyFill="1" applyBorder="1" applyAlignment="1">
      <alignment horizontal="center" vertical="center" wrapText="1"/>
    </xf>
    <xf numFmtId="165" fontId="4" fillId="0" borderId="27" xfId="1" applyNumberFormat="1" applyFont="1" applyFill="1" applyBorder="1" applyAlignment="1">
      <alignment horizontal="center" vertical="center" wrapText="1"/>
    </xf>
    <xf numFmtId="165" fontId="4" fillId="0" borderId="70" xfId="1" applyNumberFormat="1" applyFont="1" applyFill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left" wrapText="1"/>
    </xf>
    <xf numFmtId="4" fontId="6" fillId="3" borderId="76" xfId="0" applyNumberFormat="1" applyFont="1" applyFill="1" applyBorder="1" applyAlignment="1">
      <alignment horizontal="left" vertical="center" wrapText="1"/>
    </xf>
    <xf numFmtId="4" fontId="6" fillId="3" borderId="30" xfId="0" applyNumberFormat="1" applyFont="1" applyFill="1" applyBorder="1" applyAlignment="1">
      <alignment horizontal="left" vertical="center" wrapText="1"/>
    </xf>
    <xf numFmtId="4" fontId="6" fillId="3" borderId="20" xfId="0" applyNumberFormat="1" applyFont="1" applyFill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left" wrapText="1"/>
    </xf>
    <xf numFmtId="165" fontId="4" fillId="0" borderId="21" xfId="1" applyNumberFormat="1" applyFont="1" applyFill="1" applyBorder="1" applyAlignment="1">
      <alignment horizontal="center" vertical="center" wrapText="1"/>
    </xf>
    <xf numFmtId="165" fontId="4" fillId="3" borderId="36" xfId="1" applyNumberFormat="1" applyFont="1" applyFill="1" applyBorder="1" applyAlignment="1">
      <alignment horizontal="center" vertical="center" wrapText="1"/>
    </xf>
    <xf numFmtId="165" fontId="4" fillId="3" borderId="60" xfId="1" applyNumberFormat="1" applyFont="1" applyFill="1" applyBorder="1" applyAlignment="1">
      <alignment horizontal="center" vertical="center" wrapText="1"/>
    </xf>
    <xf numFmtId="4" fontId="6" fillId="0" borderId="72" xfId="0" applyNumberFormat="1" applyFont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center" vertical="center" wrapText="1"/>
    </xf>
    <xf numFmtId="4" fontId="6" fillId="0" borderId="22" xfId="0" applyNumberFormat="1" applyFont="1" applyBorder="1" applyAlignment="1">
      <alignment horizontal="center" vertical="center" wrapText="1"/>
    </xf>
    <xf numFmtId="4" fontId="6" fillId="0" borderId="72" xfId="0" applyNumberFormat="1" applyFont="1" applyBorder="1" applyAlignment="1">
      <alignment horizontal="left" vertical="top" wrapText="1"/>
    </xf>
    <xf numFmtId="4" fontId="6" fillId="0" borderId="22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4" fontId="6" fillId="0" borderId="60" xfId="0" applyNumberFormat="1" applyFont="1" applyBorder="1" applyAlignment="1">
      <alignment horizontal="left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71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top" wrapText="1"/>
    </xf>
    <xf numFmtId="0" fontId="10" fillId="0" borderId="36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9" fontId="4" fillId="0" borderId="60" xfId="2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left" vertical="top" wrapText="1"/>
    </xf>
    <xf numFmtId="4" fontId="6" fillId="0" borderId="36" xfId="0" applyNumberFormat="1" applyFont="1" applyFill="1" applyBorder="1" applyAlignment="1">
      <alignment horizontal="left" vertical="top" wrapText="1"/>
    </xf>
    <xf numFmtId="4" fontId="6" fillId="0" borderId="22" xfId="0" applyNumberFormat="1" applyFont="1" applyFill="1" applyBorder="1" applyAlignment="1">
      <alignment horizontal="left" vertical="top" wrapText="1"/>
    </xf>
    <xf numFmtId="169" fontId="4" fillId="0" borderId="21" xfId="1" applyNumberFormat="1" applyFont="1" applyFill="1" applyBorder="1" applyAlignment="1">
      <alignment horizontal="center" vertical="center" wrapText="1"/>
    </xf>
    <xf numFmtId="169" fontId="4" fillId="0" borderId="36" xfId="1" applyNumberFormat="1" applyFont="1" applyFill="1" applyBorder="1" applyAlignment="1">
      <alignment horizontal="center" vertical="center" wrapText="1"/>
    </xf>
    <xf numFmtId="169" fontId="4" fillId="0" borderId="43" xfId="1" applyNumberFormat="1" applyFont="1" applyFill="1" applyBorder="1" applyAlignment="1">
      <alignment horizontal="center" vertical="center" wrapText="1"/>
    </xf>
    <xf numFmtId="43" fontId="9" fillId="3" borderId="72" xfId="1" applyFont="1" applyFill="1" applyBorder="1" applyAlignment="1">
      <alignment horizontal="center" vertical="center" wrapText="1"/>
    </xf>
    <xf numFmtId="43" fontId="9" fillId="3" borderId="36" xfId="1" applyFont="1" applyFill="1" applyBorder="1" applyAlignment="1">
      <alignment horizontal="center" vertical="center" wrapText="1"/>
    </xf>
    <xf numFmtId="43" fontId="9" fillId="3" borderId="60" xfId="1" applyFont="1" applyFill="1" applyBorder="1" applyAlignment="1">
      <alignment horizontal="center" vertical="center" wrapText="1"/>
    </xf>
    <xf numFmtId="43" fontId="9" fillId="0" borderId="73" xfId="1" applyFont="1" applyFill="1" applyBorder="1" applyAlignment="1">
      <alignment horizontal="center" vertical="center" wrapText="1"/>
    </xf>
    <xf numFmtId="43" fontId="9" fillId="0" borderId="27" xfId="1" applyFont="1" applyFill="1" applyBorder="1" applyAlignment="1">
      <alignment horizontal="center" vertical="center" wrapText="1"/>
    </xf>
    <xf numFmtId="43" fontId="9" fillId="0" borderId="70" xfId="1" applyFont="1" applyFill="1" applyBorder="1" applyAlignment="1">
      <alignment horizontal="center" vertical="center" wrapText="1"/>
    </xf>
    <xf numFmtId="43" fontId="4" fillId="3" borderId="72" xfId="1" applyFont="1" applyFill="1" applyBorder="1" applyAlignment="1">
      <alignment horizontal="center" vertical="center" wrapText="1"/>
    </xf>
    <xf numFmtId="43" fontId="4" fillId="3" borderId="36" xfId="1" applyFont="1" applyFill="1" applyBorder="1" applyAlignment="1">
      <alignment horizontal="center" vertical="center" wrapText="1"/>
    </xf>
    <xf numFmtId="43" fontId="4" fillId="3" borderId="60" xfId="1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5" fillId="0" borderId="5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8" fontId="4" fillId="0" borderId="0" xfId="1" applyNumberFormat="1" applyFont="1" applyFill="1" applyBorder="1" applyAlignment="1">
      <alignment horizontal="left" vertical="center" wrapText="1"/>
    </xf>
    <xf numFmtId="0" fontId="5" fillId="3" borderId="76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7" fillId="4" borderId="19" xfId="0" applyFont="1" applyFill="1" applyBorder="1" applyAlignment="1">
      <alignment horizontal="center" vertical="top" wrapText="1"/>
    </xf>
    <xf numFmtId="0" fontId="27" fillId="4" borderId="17" xfId="0" applyFont="1" applyFill="1" applyBorder="1" applyAlignment="1">
      <alignment horizontal="center" vertical="top" wrapText="1"/>
    </xf>
    <xf numFmtId="0" fontId="27" fillId="4" borderId="31" xfId="0" applyFont="1" applyFill="1" applyBorder="1" applyAlignment="1">
      <alignment horizontal="center" vertical="top" wrapText="1"/>
    </xf>
    <xf numFmtId="0" fontId="27" fillId="4" borderId="30" xfId="0" applyFont="1" applyFill="1" applyBorder="1" applyAlignment="1">
      <alignment horizontal="center" vertical="top" wrapText="1"/>
    </xf>
    <xf numFmtId="0" fontId="27" fillId="4" borderId="0" xfId="0" applyFont="1" applyFill="1" applyAlignment="1">
      <alignment horizontal="center" vertical="top" wrapText="1"/>
    </xf>
    <xf numFmtId="0" fontId="27" fillId="4" borderId="27" xfId="0" applyFont="1" applyFill="1" applyBorder="1" applyAlignment="1">
      <alignment horizontal="center" vertical="top" wrapText="1"/>
    </xf>
    <xf numFmtId="0" fontId="27" fillId="4" borderId="20" xfId="0" applyFont="1" applyFill="1" applyBorder="1" applyAlignment="1">
      <alignment horizontal="center" vertical="top" wrapText="1"/>
    </xf>
    <xf numFmtId="0" fontId="27" fillId="4" borderId="18" xfId="0" applyFont="1" applyFill="1" applyBorder="1" applyAlignment="1">
      <alignment horizontal="center" vertical="top" wrapText="1"/>
    </xf>
    <xf numFmtId="0" fontId="27" fillId="4" borderId="24" xfId="0" applyFont="1" applyFill="1" applyBorder="1" applyAlignment="1">
      <alignment horizontal="center" vertical="top" wrapText="1"/>
    </xf>
    <xf numFmtId="9" fontId="4" fillId="0" borderId="35" xfId="2" applyFont="1" applyFill="1" applyBorder="1" applyAlignment="1">
      <alignment horizontal="center" vertical="center" wrapText="1"/>
    </xf>
    <xf numFmtId="9" fontId="4" fillId="0" borderId="5" xfId="2" applyFont="1" applyFill="1" applyBorder="1" applyAlignment="1">
      <alignment horizontal="center" vertical="center" wrapText="1"/>
    </xf>
    <xf numFmtId="9" fontId="4" fillId="0" borderId="58" xfId="2" applyFont="1" applyFill="1" applyBorder="1" applyAlignment="1">
      <alignment horizontal="center" vertical="center" wrapText="1"/>
    </xf>
    <xf numFmtId="4" fontId="10" fillId="0" borderId="33" xfId="0" applyNumberFormat="1" applyFont="1" applyBorder="1" applyAlignment="1">
      <alignment horizontal="center" vertical="center" wrapText="1"/>
    </xf>
    <xf numFmtId="4" fontId="10" fillId="0" borderId="34" xfId="0" applyNumberFormat="1" applyFont="1" applyBorder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3" borderId="72" xfId="3" applyFont="1" applyFill="1" applyBorder="1" applyAlignment="1">
      <alignment horizontal="left" vertical="center" wrapText="1"/>
    </xf>
    <xf numFmtId="0" fontId="6" fillId="3" borderId="36" xfId="3" applyFont="1" applyFill="1" applyBorder="1" applyAlignment="1">
      <alignment horizontal="left" vertical="center" wrapText="1"/>
    </xf>
    <xf numFmtId="0" fontId="6" fillId="3" borderId="22" xfId="3" applyFont="1" applyFill="1" applyBorder="1" applyAlignment="1">
      <alignment horizontal="left" vertical="center" wrapText="1"/>
    </xf>
    <xf numFmtId="9" fontId="9" fillId="3" borderId="72" xfId="2" applyFont="1" applyFill="1" applyBorder="1" applyAlignment="1">
      <alignment horizontal="center" vertical="center" wrapText="1"/>
    </xf>
    <xf numFmtId="9" fontId="9" fillId="3" borderId="36" xfId="2" applyFont="1" applyFill="1" applyBorder="1" applyAlignment="1">
      <alignment horizontal="center" vertical="center" wrapText="1"/>
    </xf>
    <xf numFmtId="9" fontId="9" fillId="3" borderId="22" xfId="2" applyFont="1" applyFill="1" applyBorder="1" applyAlignment="1">
      <alignment horizontal="center" vertical="center" wrapText="1"/>
    </xf>
    <xf numFmtId="9" fontId="4" fillId="3" borderId="16" xfId="2" applyFont="1" applyFill="1" applyBorder="1" applyAlignment="1">
      <alignment horizontal="center" vertical="center" wrapText="1"/>
    </xf>
    <xf numFmtId="9" fontId="4" fillId="3" borderId="52" xfId="2" applyFont="1" applyFill="1" applyBorder="1" applyAlignment="1">
      <alignment horizontal="center" vertical="center" wrapText="1"/>
    </xf>
    <xf numFmtId="9" fontId="4" fillId="3" borderId="54" xfId="2" applyFont="1" applyFill="1" applyBorder="1" applyAlignment="1">
      <alignment horizontal="center" vertical="center" wrapText="1"/>
    </xf>
    <xf numFmtId="9" fontId="4" fillId="3" borderId="62" xfId="2" applyFont="1" applyFill="1" applyBorder="1" applyAlignment="1">
      <alignment horizontal="center" vertical="center" wrapText="1"/>
    </xf>
    <xf numFmtId="9" fontId="4" fillId="3" borderId="0" xfId="2" applyFont="1" applyFill="1" applyBorder="1" applyAlignment="1">
      <alignment horizontal="center" vertical="center" wrapText="1"/>
    </xf>
    <xf numFmtId="9" fontId="4" fillId="3" borderId="73" xfId="2" applyFont="1" applyFill="1" applyBorder="1" applyAlignment="1">
      <alignment horizontal="center" vertical="center" wrapText="1"/>
    </xf>
    <xf numFmtId="9" fontId="4" fillId="3" borderId="27" xfId="2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5" fillId="3" borderId="72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9" fontId="9" fillId="0" borderId="73" xfId="2" applyFont="1" applyFill="1" applyBorder="1" applyAlignment="1">
      <alignment horizontal="center" vertical="center" wrapText="1"/>
    </xf>
    <xf numFmtId="9" fontId="9" fillId="0" borderId="27" xfId="2" applyFont="1" applyFill="1" applyBorder="1" applyAlignment="1">
      <alignment horizontal="center" vertical="center" wrapText="1"/>
    </xf>
    <xf numFmtId="9" fontId="9" fillId="0" borderId="24" xfId="2" applyFont="1" applyFill="1" applyBorder="1" applyAlignment="1">
      <alignment horizontal="center" vertical="center" wrapText="1"/>
    </xf>
    <xf numFmtId="9" fontId="4" fillId="3" borderId="73" xfId="2" applyNumberFormat="1" applyFont="1" applyFill="1" applyBorder="1" applyAlignment="1">
      <alignment horizontal="center" vertical="center" wrapText="1"/>
    </xf>
    <xf numFmtId="9" fontId="4" fillId="3" borderId="27" xfId="2" applyNumberFormat="1" applyFont="1" applyFill="1" applyBorder="1" applyAlignment="1">
      <alignment horizontal="center" vertical="center" wrapText="1"/>
    </xf>
    <xf numFmtId="0" fontId="6" fillId="3" borderId="36" xfId="3" applyFont="1" applyFill="1" applyBorder="1" applyAlignment="1">
      <alignment horizontal="left" wrapText="1"/>
    </xf>
    <xf numFmtId="0" fontId="6" fillId="3" borderId="60" xfId="3" applyFont="1" applyFill="1" applyBorder="1" applyAlignment="1">
      <alignment horizontal="left" wrapText="1"/>
    </xf>
    <xf numFmtId="0" fontId="11" fillId="3" borderId="59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6" fillId="3" borderId="36" xfId="3" applyFont="1" applyFill="1" applyBorder="1" applyAlignment="1">
      <alignment horizontal="left" vertical="top" wrapText="1"/>
    </xf>
    <xf numFmtId="0" fontId="6" fillId="3" borderId="60" xfId="3" applyFont="1" applyFill="1" applyBorder="1" applyAlignment="1">
      <alignment horizontal="left" vertical="top" wrapText="1"/>
    </xf>
    <xf numFmtId="165" fontId="4" fillId="3" borderId="17" xfId="1" applyNumberFormat="1" applyFont="1" applyFill="1" applyBorder="1" applyAlignment="1">
      <alignment horizontal="center" vertical="center" wrapText="1"/>
    </xf>
    <xf numFmtId="165" fontId="4" fillId="3" borderId="0" xfId="1" applyNumberFormat="1" applyFont="1" applyFill="1" applyBorder="1" applyAlignment="1">
      <alignment horizontal="center" vertical="center" wrapText="1"/>
    </xf>
    <xf numFmtId="165" fontId="4" fillId="3" borderId="59" xfId="1" applyNumberFormat="1" applyFont="1" applyFill="1" applyBorder="1" applyAlignment="1">
      <alignment horizontal="center" vertical="center" wrapText="1"/>
    </xf>
    <xf numFmtId="165" fontId="4" fillId="3" borderId="27" xfId="1" applyNumberFormat="1" applyFont="1" applyFill="1" applyBorder="1" applyAlignment="1">
      <alignment horizontal="center" vertical="center" wrapText="1"/>
    </xf>
    <xf numFmtId="165" fontId="4" fillId="3" borderId="70" xfId="1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6" fillId="3" borderId="72" xfId="3" applyFont="1" applyFill="1" applyBorder="1" applyAlignment="1">
      <alignment horizontal="left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165" fontId="9" fillId="3" borderId="36" xfId="1" applyNumberFormat="1" applyFont="1" applyFill="1" applyBorder="1" applyAlignment="1">
      <alignment horizontal="center" vertical="center" wrapText="1"/>
    </xf>
    <xf numFmtId="165" fontId="9" fillId="3" borderId="60" xfId="1" applyNumberFormat="1" applyFont="1" applyFill="1" applyBorder="1" applyAlignment="1">
      <alignment horizontal="center" vertical="center" wrapText="1"/>
    </xf>
    <xf numFmtId="165" fontId="9" fillId="0" borderId="27" xfId="1" applyNumberFormat="1" applyFont="1" applyFill="1" applyBorder="1" applyAlignment="1">
      <alignment horizontal="center" vertical="center" wrapText="1"/>
    </xf>
    <xf numFmtId="165" fontId="9" fillId="0" borderId="70" xfId="1" applyNumberFormat="1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9" fillId="0" borderId="72" xfId="2" applyFont="1" applyFill="1" applyBorder="1" applyAlignment="1">
      <alignment horizontal="center" vertical="center" wrapText="1"/>
    </xf>
    <xf numFmtId="9" fontId="9" fillId="0" borderId="36" xfId="2" applyFont="1" applyFill="1" applyBorder="1" applyAlignment="1">
      <alignment horizontal="center" vertical="center" wrapText="1"/>
    </xf>
    <xf numFmtId="9" fontId="9" fillId="0" borderId="22" xfId="2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9" fontId="9" fillId="0" borderId="21" xfId="2" applyFont="1" applyFill="1" applyBorder="1" applyAlignment="1">
      <alignment horizontal="center" vertical="center" wrapText="1"/>
    </xf>
    <xf numFmtId="9" fontId="30" fillId="0" borderId="19" xfId="2" applyFont="1" applyFill="1" applyBorder="1" applyAlignment="1">
      <alignment horizontal="center" vertical="center" wrapText="1"/>
    </xf>
    <xf numFmtId="9" fontId="30" fillId="0" borderId="30" xfId="2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9" fontId="31" fillId="0" borderId="73" xfId="2" applyFont="1" applyFill="1" applyBorder="1" applyAlignment="1">
      <alignment horizontal="left" vertical="center" wrapText="1"/>
    </xf>
    <xf numFmtId="9" fontId="31" fillId="0" borderId="27" xfId="2" applyFont="1" applyFill="1" applyBorder="1" applyAlignment="1">
      <alignment horizontal="left" vertical="center" wrapText="1"/>
    </xf>
    <xf numFmtId="9" fontId="31" fillId="0" borderId="24" xfId="2" applyFont="1" applyFill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43" fontId="10" fillId="0" borderId="76" xfId="1" applyFont="1" applyFill="1" applyBorder="1" applyAlignment="1">
      <alignment horizontal="center" vertical="center" wrapText="1"/>
    </xf>
    <xf numFmtId="43" fontId="10" fillId="0" borderId="55" xfId="1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center" vertical="top" wrapText="1"/>
    </xf>
    <xf numFmtId="43" fontId="10" fillId="0" borderId="72" xfId="0" applyNumberFormat="1" applyFont="1" applyFill="1" applyBorder="1" applyAlignment="1">
      <alignment horizontal="center" vertical="top" wrapText="1"/>
    </xf>
    <xf numFmtId="43" fontId="10" fillId="0" borderId="36" xfId="0" applyNumberFormat="1" applyFont="1" applyFill="1" applyBorder="1" applyAlignment="1">
      <alignment horizontal="center" vertical="top" wrapText="1"/>
    </xf>
    <xf numFmtId="43" fontId="10" fillId="0" borderId="22" xfId="0" applyNumberFormat="1" applyFont="1" applyFill="1" applyBorder="1" applyAlignment="1">
      <alignment horizontal="center" vertical="top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 xr:uid="{00000000-0005-0000-0000-000001000000}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5"/>
  <sheetViews>
    <sheetView view="pageBreakPreview" topLeftCell="D253" zoomScale="80" zoomScaleNormal="80" zoomScaleSheetLayoutView="80" workbookViewId="0">
      <selection activeCell="H287" sqref="H287"/>
    </sheetView>
  </sheetViews>
  <sheetFormatPr defaultColWidth="14.42578125" defaultRowHeight="18.75" x14ac:dyDescent="0.25"/>
  <cols>
    <col min="1" max="1" width="43.42578125" style="58" customWidth="1"/>
    <col min="2" max="2" width="16.7109375" style="6" hidden="1" customWidth="1"/>
    <col min="3" max="3" width="36.140625" style="6" hidden="1" customWidth="1"/>
    <col min="4" max="4" width="44.42578125" style="28" customWidth="1"/>
    <col min="5" max="5" width="12.42578125" style="28" customWidth="1"/>
    <col min="6" max="6" width="19" style="11" customWidth="1"/>
    <col min="7" max="7" width="27.28515625" style="5" bestFit="1" customWidth="1"/>
    <col min="8" max="8" width="28.7109375" style="5" customWidth="1"/>
    <col min="9" max="9" width="23" style="5" customWidth="1"/>
    <col min="10" max="10" width="44.28515625" style="5" customWidth="1"/>
    <col min="11" max="14" width="14.42578125" style="5"/>
    <col min="15" max="15" width="37.7109375" style="5" customWidth="1"/>
    <col min="16" max="16384" width="14.42578125" style="5"/>
  </cols>
  <sheetData>
    <row r="1" spans="1:15" s="4" customFormat="1" x14ac:dyDescent="0.25">
      <c r="A1" s="541"/>
      <c r="B1" s="541"/>
      <c r="C1" s="541"/>
      <c r="D1" s="541"/>
      <c r="E1" s="541"/>
      <c r="F1" s="541"/>
    </row>
    <row r="2" spans="1:15" s="4" customFormat="1" x14ac:dyDescent="0.25">
      <c r="A2" s="541"/>
      <c r="B2" s="541"/>
      <c r="C2" s="541"/>
      <c r="D2" s="541"/>
      <c r="E2" s="541"/>
      <c r="F2" s="541"/>
    </row>
    <row r="3" spans="1:15" ht="19.5" thickBot="1" x14ac:dyDescent="0.25">
      <c r="C3" s="7"/>
      <c r="D3" s="10"/>
      <c r="E3" s="10"/>
      <c r="G3" s="12"/>
    </row>
    <row r="4" spans="1:15" s="13" customFormat="1" ht="33.75" customHeight="1" thickBot="1" x14ac:dyDescent="0.3">
      <c r="A4" s="60" t="s">
        <v>2</v>
      </c>
      <c r="B4" s="60" t="s">
        <v>56</v>
      </c>
      <c r="C4" s="60" t="s">
        <v>57</v>
      </c>
      <c r="D4" s="60" t="s">
        <v>58</v>
      </c>
      <c r="E4" s="60"/>
      <c r="F4" s="60"/>
      <c r="G4" s="60"/>
      <c r="H4" s="60"/>
      <c r="I4" s="60"/>
      <c r="J4" s="553" t="s">
        <v>185</v>
      </c>
      <c r="K4" s="555" t="s">
        <v>195</v>
      </c>
      <c r="L4" s="556"/>
      <c r="M4" s="556"/>
      <c r="N4" s="557"/>
      <c r="O4" s="72" t="s">
        <v>190</v>
      </c>
    </row>
    <row r="5" spans="1:15" s="13" customFormat="1" ht="58.5" customHeight="1" thickBot="1" x14ac:dyDescent="0.3">
      <c r="A5" s="61"/>
      <c r="B5" s="61"/>
      <c r="C5" s="61"/>
      <c r="D5" s="61" t="s">
        <v>4</v>
      </c>
      <c r="E5" s="61" t="s">
        <v>180</v>
      </c>
      <c r="F5" s="61" t="s">
        <v>179</v>
      </c>
      <c r="G5" s="61" t="s">
        <v>192</v>
      </c>
      <c r="H5" s="61" t="s">
        <v>193</v>
      </c>
      <c r="I5" s="61" t="s">
        <v>184</v>
      </c>
      <c r="J5" s="554"/>
      <c r="K5" s="72" t="s">
        <v>186</v>
      </c>
      <c r="L5" s="72" t="s">
        <v>187</v>
      </c>
      <c r="M5" s="72" t="s">
        <v>188</v>
      </c>
      <c r="N5" s="72" t="s">
        <v>189</v>
      </c>
      <c r="O5" s="61" t="s">
        <v>191</v>
      </c>
    </row>
    <row r="6" spans="1:15" s="17" customFormat="1" ht="20.25" thickBot="1" x14ac:dyDescent="0.3">
      <c r="A6" s="73">
        <v>1</v>
      </c>
      <c r="B6" s="73">
        <v>4</v>
      </c>
      <c r="C6" s="73">
        <v>5</v>
      </c>
      <c r="D6" s="73">
        <v>2</v>
      </c>
      <c r="E6" s="73">
        <v>3</v>
      </c>
      <c r="F6" s="73">
        <v>4</v>
      </c>
      <c r="G6" s="74">
        <v>5</v>
      </c>
      <c r="H6" s="74">
        <v>6</v>
      </c>
      <c r="I6" s="74">
        <v>7</v>
      </c>
      <c r="J6" s="74">
        <v>8</v>
      </c>
      <c r="K6" s="74">
        <v>9</v>
      </c>
      <c r="L6" s="74">
        <v>10</v>
      </c>
      <c r="M6" s="74">
        <v>11</v>
      </c>
      <c r="N6" s="74">
        <v>12</v>
      </c>
      <c r="O6" s="74">
        <v>13</v>
      </c>
    </row>
    <row r="7" spans="1:15" s="17" customFormat="1" ht="21" thickBot="1" x14ac:dyDescent="0.3">
      <c r="A7" s="104" t="s">
        <v>196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1:15" s="17" customFormat="1" ht="26.25" customHeight="1" thickBot="1" x14ac:dyDescent="0.3">
      <c r="A8" s="558" t="s">
        <v>127</v>
      </c>
      <c r="B8" s="559"/>
      <c r="C8" s="559"/>
      <c r="D8" s="559"/>
      <c r="E8" s="559"/>
      <c r="F8" s="559"/>
      <c r="G8" s="560"/>
      <c r="H8" s="560"/>
      <c r="I8" s="560"/>
      <c r="J8" s="560"/>
      <c r="K8" s="560"/>
      <c r="L8" s="560"/>
      <c r="M8" s="560"/>
      <c r="N8" s="560"/>
      <c r="O8" s="561"/>
    </row>
    <row r="9" spans="1:15" ht="30" customHeight="1" x14ac:dyDescent="0.2">
      <c r="A9" s="532" t="s">
        <v>64</v>
      </c>
      <c r="B9" s="535" t="s">
        <v>7</v>
      </c>
      <c r="C9" s="538" t="s">
        <v>59</v>
      </c>
      <c r="D9" s="48" t="s">
        <v>11</v>
      </c>
      <c r="E9" s="70" t="s">
        <v>181</v>
      </c>
      <c r="F9" s="90"/>
      <c r="G9" s="91"/>
      <c r="H9" s="92">
        <f>K9+L9+M9+N9</f>
        <v>100.85899999999999</v>
      </c>
      <c r="I9" s="550"/>
      <c r="J9" s="562"/>
      <c r="K9" s="99"/>
      <c r="L9" s="100">
        <v>100.85899999999999</v>
      </c>
      <c r="M9" s="100"/>
      <c r="N9" s="101"/>
      <c r="O9" s="550"/>
    </row>
    <row r="10" spans="1:15" ht="51.75" customHeight="1" x14ac:dyDescent="0.2">
      <c r="A10" s="533"/>
      <c r="B10" s="536"/>
      <c r="C10" s="539"/>
      <c r="D10" s="49" t="s">
        <v>60</v>
      </c>
      <c r="E10" s="71" t="s">
        <v>182</v>
      </c>
      <c r="F10" s="93">
        <v>1301</v>
      </c>
      <c r="G10" s="94"/>
      <c r="H10" s="94">
        <v>15</v>
      </c>
      <c r="I10" s="551"/>
      <c r="J10" s="563"/>
      <c r="K10" s="85" t="s">
        <v>194</v>
      </c>
      <c r="L10" s="51" t="s">
        <v>194</v>
      </c>
      <c r="M10" s="51" t="s">
        <v>194</v>
      </c>
      <c r="N10" s="86" t="s">
        <v>194</v>
      </c>
      <c r="O10" s="551"/>
    </row>
    <row r="11" spans="1:15" ht="26.25" customHeight="1" x14ac:dyDescent="0.2">
      <c r="A11" s="533"/>
      <c r="B11" s="536"/>
      <c r="C11" s="539"/>
      <c r="D11" s="49" t="s">
        <v>21</v>
      </c>
      <c r="E11" s="71" t="s">
        <v>181</v>
      </c>
      <c r="F11" s="95">
        <v>0.77110684089162185</v>
      </c>
      <c r="G11" s="94"/>
      <c r="H11" s="94">
        <f>H9/H10</f>
        <v>6.7239333333333331</v>
      </c>
      <c r="I11" s="551"/>
      <c r="J11" s="563"/>
      <c r="K11" s="85" t="s">
        <v>194</v>
      </c>
      <c r="L11" s="51" t="s">
        <v>194</v>
      </c>
      <c r="M11" s="51" t="s">
        <v>194</v>
      </c>
      <c r="N11" s="86" t="s">
        <v>194</v>
      </c>
      <c r="O11" s="551"/>
    </row>
    <row r="12" spans="1:15" ht="36" customHeight="1" thickBot="1" x14ac:dyDescent="0.25">
      <c r="A12" s="534"/>
      <c r="B12" s="537"/>
      <c r="C12" s="540"/>
      <c r="D12" s="69" t="s">
        <v>165</v>
      </c>
      <c r="E12" s="75" t="s">
        <v>183</v>
      </c>
      <c r="F12" s="96">
        <v>1</v>
      </c>
      <c r="G12" s="97"/>
      <c r="H12" s="98">
        <f>H10/F10</f>
        <v>1.1529592621060722E-2</v>
      </c>
      <c r="I12" s="552"/>
      <c r="J12" s="564"/>
      <c r="K12" s="107" t="s">
        <v>194</v>
      </c>
      <c r="L12" s="108" t="s">
        <v>194</v>
      </c>
      <c r="M12" s="108" t="s">
        <v>194</v>
      </c>
      <c r="N12" s="109" t="s">
        <v>194</v>
      </c>
      <c r="O12" s="552"/>
    </row>
    <row r="13" spans="1:15" ht="18.75" customHeight="1" x14ac:dyDescent="0.2">
      <c r="A13" s="565" t="s">
        <v>65</v>
      </c>
      <c r="B13" s="566" t="s">
        <v>7</v>
      </c>
      <c r="C13" s="567" t="s">
        <v>59</v>
      </c>
      <c r="D13" s="37" t="s">
        <v>11</v>
      </c>
      <c r="E13" s="47"/>
      <c r="F13" s="105"/>
      <c r="G13" s="80"/>
      <c r="H13" s="114">
        <f>K13+L13+M13+N13</f>
        <v>16400</v>
      </c>
      <c r="I13" s="550"/>
      <c r="J13" s="562"/>
      <c r="K13" s="110">
        <f>K14+K15</f>
        <v>16400</v>
      </c>
      <c r="L13" s="111">
        <f>L14+L15</f>
        <v>0</v>
      </c>
      <c r="M13" s="111">
        <f>M14+M15</f>
        <v>0</v>
      </c>
      <c r="N13" s="112">
        <f>N14+N15</f>
        <v>0</v>
      </c>
      <c r="O13" s="550"/>
    </row>
    <row r="14" spans="1:15" ht="25.5" customHeight="1" x14ac:dyDescent="0.2">
      <c r="A14" s="533"/>
      <c r="B14" s="536"/>
      <c r="C14" s="539"/>
      <c r="D14" s="21" t="s">
        <v>48</v>
      </c>
      <c r="E14" s="49"/>
      <c r="F14" s="77">
        <v>589.86532</v>
      </c>
      <c r="G14" s="81"/>
      <c r="H14" s="114">
        <f>K14+L14+M14+N14</f>
        <v>300</v>
      </c>
      <c r="I14" s="551"/>
      <c r="J14" s="563"/>
      <c r="K14" s="85">
        <v>300</v>
      </c>
      <c r="L14" s="51"/>
      <c r="M14" s="51"/>
      <c r="N14" s="86"/>
      <c r="O14" s="551"/>
    </row>
    <row r="15" spans="1:15" ht="39" customHeight="1" x14ac:dyDescent="0.2">
      <c r="A15" s="533"/>
      <c r="B15" s="536"/>
      <c r="C15" s="539"/>
      <c r="D15" s="21" t="s">
        <v>49</v>
      </c>
      <c r="E15" s="49"/>
      <c r="F15" s="77">
        <v>29478.534680000001</v>
      </c>
      <c r="G15" s="81"/>
      <c r="H15" s="114">
        <f>K15+L15+M15+N15</f>
        <v>16100</v>
      </c>
      <c r="I15" s="551"/>
      <c r="J15" s="563"/>
      <c r="K15" s="85">
        <v>16100</v>
      </c>
      <c r="L15" s="51"/>
      <c r="M15" s="51"/>
      <c r="N15" s="86"/>
      <c r="O15" s="551"/>
    </row>
    <row r="16" spans="1:15" ht="27" customHeight="1" x14ac:dyDescent="0.2">
      <c r="A16" s="533"/>
      <c r="B16" s="536"/>
      <c r="C16" s="539"/>
      <c r="D16" s="21" t="s">
        <v>166</v>
      </c>
      <c r="E16" s="49"/>
      <c r="F16" s="76"/>
      <c r="G16" s="81"/>
      <c r="H16" s="113"/>
      <c r="I16" s="551"/>
      <c r="J16" s="563"/>
      <c r="K16" s="85" t="s">
        <v>194</v>
      </c>
      <c r="L16" s="51" t="s">
        <v>194</v>
      </c>
      <c r="M16" s="51" t="s">
        <v>194</v>
      </c>
      <c r="N16" s="86" t="s">
        <v>194</v>
      </c>
      <c r="O16" s="551"/>
    </row>
    <row r="17" spans="1:15" ht="26.25" customHeight="1" x14ac:dyDescent="0.2">
      <c r="A17" s="533"/>
      <c r="B17" s="536"/>
      <c r="C17" s="539"/>
      <c r="D17" s="21" t="s">
        <v>66</v>
      </c>
      <c r="E17" s="49"/>
      <c r="F17" s="76">
        <v>8</v>
      </c>
      <c r="G17" s="81"/>
      <c r="H17" s="113">
        <v>6</v>
      </c>
      <c r="I17" s="551"/>
      <c r="J17" s="563"/>
      <c r="K17" s="85" t="s">
        <v>194</v>
      </c>
      <c r="L17" s="51" t="s">
        <v>194</v>
      </c>
      <c r="M17" s="51" t="s">
        <v>194</v>
      </c>
      <c r="N17" s="86" t="s">
        <v>194</v>
      </c>
      <c r="O17" s="551"/>
    </row>
    <row r="18" spans="1:15" ht="26.25" customHeight="1" x14ac:dyDescent="0.2">
      <c r="A18" s="533"/>
      <c r="B18" s="536"/>
      <c r="C18" s="539"/>
      <c r="D18" s="21" t="s">
        <v>29</v>
      </c>
      <c r="E18" s="49"/>
      <c r="F18" s="76">
        <v>440</v>
      </c>
      <c r="G18" s="81"/>
      <c r="H18" s="113">
        <v>200</v>
      </c>
      <c r="I18" s="551"/>
      <c r="J18" s="563"/>
      <c r="K18" s="85" t="s">
        <v>194</v>
      </c>
      <c r="L18" s="51" t="s">
        <v>194</v>
      </c>
      <c r="M18" s="51" t="s">
        <v>194</v>
      </c>
      <c r="N18" s="86" t="s">
        <v>194</v>
      </c>
      <c r="O18" s="551"/>
    </row>
    <row r="19" spans="1:15" ht="26.25" customHeight="1" x14ac:dyDescent="0.2">
      <c r="A19" s="533"/>
      <c r="B19" s="536"/>
      <c r="C19" s="539"/>
      <c r="D19" s="21" t="s">
        <v>162</v>
      </c>
      <c r="E19" s="49"/>
      <c r="F19" s="76"/>
      <c r="G19" s="81"/>
      <c r="H19" s="113"/>
      <c r="I19" s="551"/>
      <c r="J19" s="563"/>
      <c r="K19" s="85" t="s">
        <v>194</v>
      </c>
      <c r="L19" s="51" t="s">
        <v>194</v>
      </c>
      <c r="M19" s="51" t="s">
        <v>194</v>
      </c>
      <c r="N19" s="86" t="s">
        <v>194</v>
      </c>
      <c r="O19" s="551"/>
    </row>
    <row r="20" spans="1:15" ht="26.25" customHeight="1" x14ac:dyDescent="0.2">
      <c r="A20" s="533"/>
      <c r="B20" s="536"/>
      <c r="C20" s="539"/>
      <c r="D20" s="22" t="s">
        <v>30</v>
      </c>
      <c r="E20" s="52"/>
      <c r="F20" s="77">
        <v>73.733165</v>
      </c>
      <c r="G20" s="81"/>
      <c r="H20" s="113">
        <f>H14/H17</f>
        <v>50</v>
      </c>
      <c r="I20" s="551"/>
      <c r="J20" s="563"/>
      <c r="K20" s="85" t="s">
        <v>194</v>
      </c>
      <c r="L20" s="51" t="s">
        <v>194</v>
      </c>
      <c r="M20" s="51" t="s">
        <v>194</v>
      </c>
      <c r="N20" s="86" t="s">
        <v>194</v>
      </c>
      <c r="O20" s="551"/>
    </row>
    <row r="21" spans="1:15" ht="39" customHeight="1" x14ac:dyDescent="0.2">
      <c r="A21" s="533"/>
      <c r="B21" s="536"/>
      <c r="C21" s="539"/>
      <c r="D21" s="22" t="s">
        <v>31</v>
      </c>
      <c r="E21" s="52"/>
      <c r="F21" s="77">
        <v>66.996669727272732</v>
      </c>
      <c r="G21" s="81"/>
      <c r="H21" s="113">
        <f>H15/H18</f>
        <v>80.5</v>
      </c>
      <c r="I21" s="551"/>
      <c r="J21" s="563"/>
      <c r="K21" s="85" t="s">
        <v>194</v>
      </c>
      <c r="L21" s="51" t="s">
        <v>194</v>
      </c>
      <c r="M21" s="51" t="s">
        <v>194</v>
      </c>
      <c r="N21" s="86" t="s">
        <v>194</v>
      </c>
      <c r="O21" s="551"/>
    </row>
    <row r="22" spans="1:15" ht="27" customHeight="1" thickBot="1" x14ac:dyDescent="0.25">
      <c r="A22" s="534"/>
      <c r="B22" s="537"/>
      <c r="C22" s="540"/>
      <c r="D22" s="22" t="s">
        <v>131</v>
      </c>
      <c r="E22" s="52"/>
      <c r="F22" s="106">
        <v>1</v>
      </c>
      <c r="G22" s="82"/>
      <c r="H22" s="115">
        <f>((H17/F17)+(H18/F18))/2</f>
        <v>0.60227272727272729</v>
      </c>
      <c r="I22" s="552"/>
      <c r="J22" s="564"/>
      <c r="K22" s="87" t="s">
        <v>194</v>
      </c>
      <c r="L22" s="88" t="s">
        <v>194</v>
      </c>
      <c r="M22" s="88" t="s">
        <v>194</v>
      </c>
      <c r="N22" s="89" t="s">
        <v>194</v>
      </c>
      <c r="O22" s="552"/>
    </row>
    <row r="23" spans="1:15" x14ac:dyDescent="0.2">
      <c r="A23" s="530" t="s">
        <v>67</v>
      </c>
      <c r="B23" s="531" t="s">
        <v>7</v>
      </c>
      <c r="C23" s="531" t="s">
        <v>59</v>
      </c>
      <c r="D23" s="37" t="s">
        <v>11</v>
      </c>
      <c r="E23" s="47"/>
      <c r="F23" s="33"/>
      <c r="G23" s="83"/>
      <c r="H23" s="83"/>
      <c r="I23" s="84"/>
      <c r="J23" s="84"/>
      <c r="K23" s="84"/>
      <c r="L23" s="84"/>
      <c r="M23" s="84"/>
      <c r="N23" s="84"/>
      <c r="O23" s="84"/>
    </row>
    <row r="24" spans="1:15" ht="38.25" x14ac:dyDescent="0.2">
      <c r="A24" s="530"/>
      <c r="B24" s="531"/>
      <c r="C24" s="531"/>
      <c r="D24" s="21" t="s">
        <v>50</v>
      </c>
      <c r="E24" s="49"/>
      <c r="F24" s="1">
        <v>20772</v>
      </c>
      <c r="G24" s="78"/>
      <c r="H24" s="78"/>
      <c r="I24" s="31"/>
      <c r="J24" s="31"/>
      <c r="K24" s="31"/>
      <c r="L24" s="31"/>
      <c r="M24" s="31"/>
      <c r="N24" s="31"/>
      <c r="O24" s="31"/>
    </row>
    <row r="25" spans="1:15" ht="25.5" x14ac:dyDescent="0.2">
      <c r="A25" s="530"/>
      <c r="B25" s="531"/>
      <c r="C25" s="531"/>
      <c r="D25" s="21" t="s">
        <v>10</v>
      </c>
      <c r="E25" s="49"/>
      <c r="F25" s="18">
        <v>0.44056325823223569</v>
      </c>
      <c r="G25" s="78"/>
      <c r="H25" s="78"/>
      <c r="I25" s="31"/>
      <c r="J25" s="31"/>
      <c r="K25" s="31"/>
      <c r="L25" s="31"/>
      <c r="M25" s="31"/>
      <c r="N25" s="31"/>
      <c r="O25" s="31"/>
    </row>
    <row r="26" spans="1:15" ht="26.25" thickBot="1" x14ac:dyDescent="0.25">
      <c r="A26" s="530"/>
      <c r="B26" s="531"/>
      <c r="C26" s="531"/>
      <c r="D26" s="21" t="s">
        <v>131</v>
      </c>
      <c r="E26" s="49"/>
      <c r="F26" s="38">
        <v>1</v>
      </c>
      <c r="G26" s="78"/>
      <c r="H26" s="78"/>
      <c r="I26" s="31"/>
      <c r="J26" s="31"/>
      <c r="K26" s="31"/>
      <c r="L26" s="31"/>
      <c r="M26" s="31"/>
      <c r="N26" s="31"/>
      <c r="O26" s="31"/>
    </row>
    <row r="27" spans="1:15" ht="19.5" customHeight="1" x14ac:dyDescent="0.2">
      <c r="A27" s="542" t="s">
        <v>68</v>
      </c>
      <c r="B27" s="543" t="s">
        <v>7</v>
      </c>
      <c r="C27" s="544" t="s">
        <v>59</v>
      </c>
      <c r="D27" s="47" t="s">
        <v>11</v>
      </c>
      <c r="E27" s="47"/>
      <c r="F27" s="33"/>
      <c r="G27" s="78"/>
      <c r="H27" s="78"/>
      <c r="I27" s="31"/>
      <c r="J27" s="31"/>
      <c r="K27" s="31"/>
      <c r="L27" s="31"/>
      <c r="M27" s="31"/>
      <c r="N27" s="31"/>
      <c r="O27" s="31"/>
    </row>
    <row r="28" spans="1:15" ht="51.75" customHeight="1" x14ac:dyDescent="0.2">
      <c r="A28" s="530"/>
      <c r="B28" s="531"/>
      <c r="C28" s="545"/>
      <c r="D28" s="49" t="s">
        <v>109</v>
      </c>
      <c r="E28" s="49"/>
      <c r="F28" s="1">
        <v>44</v>
      </c>
      <c r="G28" s="78"/>
      <c r="H28" s="78"/>
      <c r="I28" s="31"/>
      <c r="J28" s="31"/>
      <c r="K28" s="31"/>
      <c r="L28" s="31"/>
      <c r="M28" s="31"/>
      <c r="N28" s="31"/>
      <c r="O28" s="31"/>
    </row>
    <row r="29" spans="1:15" x14ac:dyDescent="0.2">
      <c r="A29" s="530"/>
      <c r="B29" s="531"/>
      <c r="C29" s="545"/>
      <c r="D29" s="49" t="s">
        <v>52</v>
      </c>
      <c r="E29" s="49"/>
      <c r="F29" s="1">
        <v>39</v>
      </c>
      <c r="G29" s="78"/>
      <c r="H29" s="78"/>
      <c r="I29" s="31"/>
      <c r="J29" s="31"/>
      <c r="K29" s="31"/>
      <c r="L29" s="31"/>
      <c r="M29" s="31"/>
      <c r="N29" s="31"/>
      <c r="O29" s="31"/>
    </row>
    <row r="30" spans="1:15" x14ac:dyDescent="0.2">
      <c r="A30" s="530"/>
      <c r="B30" s="531"/>
      <c r="C30" s="545"/>
      <c r="D30" s="49" t="s">
        <v>53</v>
      </c>
      <c r="E30" s="49"/>
      <c r="F30" s="1">
        <v>5</v>
      </c>
      <c r="G30" s="78"/>
      <c r="H30" s="78"/>
      <c r="I30" s="31"/>
      <c r="J30" s="31"/>
      <c r="K30" s="31"/>
      <c r="L30" s="31"/>
      <c r="M30" s="31"/>
      <c r="N30" s="31"/>
      <c r="O30" s="31"/>
    </row>
    <row r="31" spans="1:15" ht="26.25" customHeight="1" x14ac:dyDescent="0.2">
      <c r="A31" s="530"/>
      <c r="B31" s="531"/>
      <c r="C31" s="545"/>
      <c r="D31" s="49" t="s">
        <v>21</v>
      </c>
      <c r="E31" s="49"/>
      <c r="F31" s="18">
        <v>27.774772727272726</v>
      </c>
      <c r="G31" s="78"/>
      <c r="H31" s="78"/>
      <c r="I31" s="31"/>
      <c r="J31" s="31"/>
      <c r="K31" s="31"/>
      <c r="L31" s="31"/>
      <c r="M31" s="31"/>
      <c r="N31" s="31"/>
      <c r="O31" s="31"/>
    </row>
    <row r="32" spans="1:15" ht="27" customHeight="1" thickBot="1" x14ac:dyDescent="0.25">
      <c r="A32" s="530"/>
      <c r="B32" s="531"/>
      <c r="C32" s="545"/>
      <c r="D32" s="49" t="s">
        <v>165</v>
      </c>
      <c r="E32" s="49"/>
      <c r="F32" s="38">
        <v>1</v>
      </c>
      <c r="G32" s="78"/>
      <c r="H32" s="78"/>
      <c r="I32" s="31"/>
      <c r="J32" s="31"/>
      <c r="K32" s="31"/>
      <c r="L32" s="31"/>
      <c r="M32" s="31"/>
      <c r="N32" s="31"/>
      <c r="O32" s="31"/>
    </row>
    <row r="33" spans="1:15" ht="19.5" customHeight="1" x14ac:dyDescent="0.2">
      <c r="A33" s="542" t="s">
        <v>61</v>
      </c>
      <c r="B33" s="543" t="s">
        <v>7</v>
      </c>
      <c r="C33" s="544" t="s">
        <v>59</v>
      </c>
      <c r="D33" s="47" t="s">
        <v>11</v>
      </c>
      <c r="E33" s="47"/>
      <c r="F33" s="33"/>
      <c r="G33" s="78"/>
      <c r="H33" s="78"/>
      <c r="I33" s="31"/>
      <c r="J33" s="31"/>
      <c r="K33" s="31"/>
      <c r="L33" s="31"/>
      <c r="M33" s="31"/>
      <c r="N33" s="31"/>
      <c r="O33" s="31"/>
    </row>
    <row r="34" spans="1:15" ht="51.75" customHeight="1" x14ac:dyDescent="0.2">
      <c r="A34" s="530"/>
      <c r="B34" s="531"/>
      <c r="C34" s="545"/>
      <c r="D34" s="49" t="s">
        <v>110</v>
      </c>
      <c r="E34" s="49"/>
      <c r="F34" s="1">
        <v>325</v>
      </c>
      <c r="G34" s="78"/>
      <c r="H34" s="78"/>
      <c r="I34" s="31"/>
      <c r="J34" s="31"/>
      <c r="K34" s="31"/>
      <c r="L34" s="31"/>
      <c r="M34" s="31"/>
      <c r="N34" s="31"/>
      <c r="O34" s="31"/>
    </row>
    <row r="35" spans="1:15" x14ac:dyDescent="0.2">
      <c r="A35" s="530"/>
      <c r="B35" s="531"/>
      <c r="C35" s="545"/>
      <c r="D35" s="49" t="s">
        <v>52</v>
      </c>
      <c r="E35" s="49"/>
      <c r="F35" s="1">
        <v>258</v>
      </c>
      <c r="G35" s="78"/>
      <c r="H35" s="78"/>
      <c r="I35" s="31"/>
      <c r="J35" s="31"/>
      <c r="K35" s="31"/>
      <c r="L35" s="31"/>
      <c r="M35" s="31"/>
      <c r="N35" s="31"/>
      <c r="O35" s="31"/>
    </row>
    <row r="36" spans="1:15" x14ac:dyDescent="0.2">
      <c r="A36" s="530"/>
      <c r="B36" s="531"/>
      <c r="C36" s="545"/>
      <c r="D36" s="49" t="s">
        <v>53</v>
      </c>
      <c r="E36" s="49"/>
      <c r="F36" s="1">
        <v>67</v>
      </c>
      <c r="G36" s="78"/>
      <c r="H36" s="78"/>
      <c r="I36" s="31"/>
      <c r="J36" s="31"/>
      <c r="K36" s="31"/>
      <c r="L36" s="31"/>
      <c r="M36" s="31"/>
      <c r="N36" s="31"/>
      <c r="O36" s="31"/>
    </row>
    <row r="37" spans="1:15" ht="26.25" customHeight="1" x14ac:dyDescent="0.2">
      <c r="A37" s="530"/>
      <c r="B37" s="531"/>
      <c r="C37" s="545"/>
      <c r="D37" s="49" t="s">
        <v>21</v>
      </c>
      <c r="E37" s="49"/>
      <c r="F37" s="18">
        <v>119.72919999999999</v>
      </c>
      <c r="G37" s="78"/>
      <c r="H37" s="78"/>
      <c r="I37" s="31"/>
      <c r="J37" s="31"/>
      <c r="K37" s="31"/>
      <c r="L37" s="31"/>
      <c r="M37" s="31"/>
      <c r="N37" s="31"/>
      <c r="O37" s="31"/>
    </row>
    <row r="38" spans="1:15" ht="27" customHeight="1" thickBot="1" x14ac:dyDescent="0.25">
      <c r="A38" s="530"/>
      <c r="B38" s="531"/>
      <c r="C38" s="545"/>
      <c r="D38" s="49" t="s">
        <v>131</v>
      </c>
      <c r="E38" s="49"/>
      <c r="F38" s="38">
        <v>1</v>
      </c>
      <c r="G38" s="78"/>
      <c r="H38" s="78"/>
      <c r="I38" s="31"/>
      <c r="J38" s="31"/>
      <c r="K38" s="31"/>
      <c r="L38" s="31"/>
      <c r="M38" s="31"/>
      <c r="N38" s="31"/>
      <c r="O38" s="31"/>
    </row>
    <row r="39" spans="1:15" x14ac:dyDescent="0.2">
      <c r="A39" s="542" t="s">
        <v>69</v>
      </c>
      <c r="B39" s="543" t="s">
        <v>7</v>
      </c>
      <c r="C39" s="543" t="s">
        <v>59</v>
      </c>
      <c r="D39" s="37" t="s">
        <v>11</v>
      </c>
      <c r="E39" s="47"/>
      <c r="F39" s="33"/>
      <c r="G39" s="78"/>
      <c r="H39" s="78"/>
      <c r="I39" s="31"/>
      <c r="J39" s="31"/>
      <c r="K39" s="31"/>
      <c r="L39" s="31"/>
      <c r="M39" s="31"/>
      <c r="N39" s="31"/>
      <c r="O39" s="31"/>
    </row>
    <row r="40" spans="1:15" ht="38.25" x14ac:dyDescent="0.2">
      <c r="A40" s="530"/>
      <c r="B40" s="531"/>
      <c r="C40" s="531"/>
      <c r="D40" s="21" t="s">
        <v>141</v>
      </c>
      <c r="E40" s="49"/>
      <c r="F40" s="1">
        <v>18</v>
      </c>
      <c r="G40" s="78"/>
      <c r="H40" s="78"/>
      <c r="I40" s="31"/>
      <c r="J40" s="31"/>
      <c r="K40" s="31"/>
      <c r="L40" s="31"/>
      <c r="M40" s="31"/>
      <c r="N40" s="31"/>
      <c r="O40" s="31"/>
    </row>
    <row r="41" spans="1:15" ht="25.5" x14ac:dyDescent="0.2">
      <c r="A41" s="530"/>
      <c r="B41" s="531"/>
      <c r="C41" s="531"/>
      <c r="D41" s="21" t="s">
        <v>21</v>
      </c>
      <c r="E41" s="49"/>
      <c r="F41" s="18">
        <v>1972.4655555555555</v>
      </c>
      <c r="G41" s="78"/>
      <c r="H41" s="78"/>
      <c r="I41" s="31"/>
      <c r="J41" s="31"/>
      <c r="K41" s="31"/>
      <c r="L41" s="31"/>
      <c r="M41" s="31"/>
      <c r="N41" s="31"/>
      <c r="O41" s="31"/>
    </row>
    <row r="42" spans="1:15" ht="26.25" thickBot="1" x14ac:dyDescent="0.25">
      <c r="A42" s="530"/>
      <c r="B42" s="531"/>
      <c r="C42" s="531"/>
      <c r="D42" s="21" t="s">
        <v>131</v>
      </c>
      <c r="E42" s="49"/>
      <c r="F42" s="38">
        <v>1</v>
      </c>
      <c r="G42" s="78"/>
      <c r="H42" s="78"/>
      <c r="I42" s="31"/>
      <c r="J42" s="31"/>
      <c r="K42" s="31"/>
      <c r="L42" s="31"/>
      <c r="M42" s="31"/>
      <c r="N42" s="31"/>
      <c r="O42" s="31"/>
    </row>
    <row r="43" spans="1:15" ht="19.5" customHeight="1" x14ac:dyDescent="0.2">
      <c r="A43" s="542" t="s">
        <v>32</v>
      </c>
      <c r="B43" s="543" t="s">
        <v>7</v>
      </c>
      <c r="C43" s="544" t="s">
        <v>59</v>
      </c>
      <c r="D43" s="47" t="s">
        <v>11</v>
      </c>
      <c r="E43" s="47"/>
      <c r="F43" s="33"/>
      <c r="G43" s="78"/>
      <c r="H43" s="78"/>
      <c r="I43" s="31"/>
      <c r="J43" s="31"/>
      <c r="K43" s="31"/>
      <c r="L43" s="31"/>
      <c r="M43" s="31"/>
      <c r="N43" s="31"/>
      <c r="O43" s="31"/>
    </row>
    <row r="44" spans="1:15" ht="39" customHeight="1" x14ac:dyDescent="0.2">
      <c r="A44" s="530"/>
      <c r="B44" s="531"/>
      <c r="C44" s="545"/>
      <c r="D44" s="49" t="s">
        <v>142</v>
      </c>
      <c r="E44" s="49"/>
      <c r="F44" s="1">
        <v>74</v>
      </c>
      <c r="G44" s="78"/>
      <c r="H44" s="78"/>
      <c r="I44" s="31"/>
      <c r="J44" s="31"/>
      <c r="K44" s="31"/>
      <c r="L44" s="31"/>
      <c r="M44" s="31"/>
      <c r="N44" s="31"/>
      <c r="O44" s="31"/>
    </row>
    <row r="45" spans="1:15" x14ac:dyDescent="0.2">
      <c r="A45" s="530"/>
      <c r="B45" s="531"/>
      <c r="C45" s="545"/>
      <c r="D45" s="49" t="s">
        <v>15</v>
      </c>
      <c r="E45" s="49"/>
      <c r="F45" s="1">
        <v>56</v>
      </c>
      <c r="G45" s="78"/>
      <c r="H45" s="78"/>
      <c r="I45" s="31"/>
      <c r="J45" s="31"/>
      <c r="K45" s="31"/>
      <c r="L45" s="31"/>
      <c r="M45" s="31"/>
      <c r="N45" s="31"/>
      <c r="O45" s="31"/>
    </row>
    <row r="46" spans="1:15" x14ac:dyDescent="0.2">
      <c r="A46" s="530"/>
      <c r="B46" s="531"/>
      <c r="C46" s="545"/>
      <c r="D46" s="49" t="s">
        <v>16</v>
      </c>
      <c r="E46" s="49"/>
      <c r="F46" s="1">
        <v>18</v>
      </c>
      <c r="G46" s="78"/>
      <c r="H46" s="78"/>
      <c r="I46" s="31"/>
      <c r="J46" s="31"/>
      <c r="K46" s="31"/>
      <c r="L46" s="31"/>
      <c r="M46" s="31"/>
      <c r="N46" s="31"/>
      <c r="O46" s="31"/>
    </row>
    <row r="47" spans="1:15" ht="26.25" customHeight="1" x14ac:dyDescent="0.2">
      <c r="A47" s="530"/>
      <c r="B47" s="531"/>
      <c r="C47" s="545"/>
      <c r="D47" s="49" t="s">
        <v>21</v>
      </c>
      <c r="E47" s="49"/>
      <c r="F47" s="18">
        <v>615.38499999999999</v>
      </c>
      <c r="G47" s="78"/>
      <c r="H47" s="78"/>
      <c r="I47" s="31"/>
      <c r="J47" s="31"/>
      <c r="K47" s="31"/>
      <c r="L47" s="31"/>
      <c r="M47" s="31"/>
      <c r="N47" s="31"/>
      <c r="O47" s="31"/>
    </row>
    <row r="48" spans="1:15" ht="27" customHeight="1" thickBot="1" x14ac:dyDescent="0.25">
      <c r="A48" s="530"/>
      <c r="B48" s="531"/>
      <c r="C48" s="545"/>
      <c r="D48" s="49" t="s">
        <v>131</v>
      </c>
      <c r="E48" s="49"/>
      <c r="F48" s="38">
        <v>1</v>
      </c>
      <c r="G48" s="78"/>
      <c r="H48" s="78"/>
      <c r="I48" s="31"/>
      <c r="J48" s="31"/>
      <c r="K48" s="31"/>
      <c r="L48" s="31"/>
      <c r="M48" s="31"/>
      <c r="N48" s="31"/>
      <c r="O48" s="31"/>
    </row>
    <row r="49" spans="1:15" ht="19.5" customHeight="1" x14ac:dyDescent="0.2">
      <c r="A49" s="542" t="s">
        <v>33</v>
      </c>
      <c r="B49" s="543" t="s">
        <v>7</v>
      </c>
      <c r="C49" s="544" t="s">
        <v>59</v>
      </c>
      <c r="D49" s="47" t="s">
        <v>11</v>
      </c>
      <c r="E49" s="47"/>
      <c r="F49" s="33"/>
      <c r="G49" s="78"/>
      <c r="H49" s="78"/>
      <c r="I49" s="31"/>
      <c r="J49" s="31"/>
      <c r="K49" s="31"/>
      <c r="L49" s="31"/>
      <c r="M49" s="31"/>
      <c r="N49" s="31"/>
      <c r="O49" s="31"/>
    </row>
    <row r="50" spans="1:15" ht="39" customHeight="1" x14ac:dyDescent="0.2">
      <c r="A50" s="530"/>
      <c r="B50" s="531"/>
      <c r="C50" s="545"/>
      <c r="D50" s="49" t="s">
        <v>70</v>
      </c>
      <c r="E50" s="49"/>
      <c r="F50" s="1">
        <v>74</v>
      </c>
      <c r="G50" s="78"/>
      <c r="H50" s="78"/>
      <c r="I50" s="31"/>
      <c r="J50" s="31"/>
      <c r="K50" s="31"/>
      <c r="L50" s="31"/>
      <c r="M50" s="31"/>
      <c r="N50" s="31"/>
      <c r="O50" s="31"/>
    </row>
    <row r="51" spans="1:15" x14ac:dyDescent="0.2">
      <c r="A51" s="530"/>
      <c r="B51" s="531"/>
      <c r="C51" s="545"/>
      <c r="D51" s="49" t="s">
        <v>15</v>
      </c>
      <c r="E51" s="49"/>
      <c r="F51" s="1">
        <v>56</v>
      </c>
      <c r="G51" s="78"/>
      <c r="H51" s="78"/>
      <c r="I51" s="31"/>
      <c r="J51" s="31"/>
      <c r="K51" s="31"/>
      <c r="L51" s="31"/>
      <c r="M51" s="31"/>
      <c r="N51" s="31"/>
      <c r="O51" s="31"/>
    </row>
    <row r="52" spans="1:15" x14ac:dyDescent="0.2">
      <c r="A52" s="530"/>
      <c r="B52" s="531"/>
      <c r="C52" s="545"/>
      <c r="D52" s="49" t="s">
        <v>16</v>
      </c>
      <c r="E52" s="49"/>
      <c r="F52" s="1">
        <v>18</v>
      </c>
      <c r="G52" s="78"/>
      <c r="H52" s="78"/>
      <c r="I52" s="31"/>
      <c r="J52" s="31"/>
      <c r="K52" s="31"/>
      <c r="L52" s="31"/>
      <c r="M52" s="31"/>
      <c r="N52" s="31"/>
      <c r="O52" s="31"/>
    </row>
    <row r="53" spans="1:15" ht="26.25" customHeight="1" x14ac:dyDescent="0.2">
      <c r="A53" s="530"/>
      <c r="B53" s="531"/>
      <c r="C53" s="545"/>
      <c r="D53" s="49" t="s">
        <v>21</v>
      </c>
      <c r="E53" s="49"/>
      <c r="F53" s="18">
        <v>66.725405405405411</v>
      </c>
      <c r="G53" s="78"/>
      <c r="H53" s="78"/>
      <c r="I53" s="31"/>
      <c r="J53" s="31"/>
      <c r="K53" s="31"/>
      <c r="L53" s="31"/>
      <c r="M53" s="31"/>
      <c r="N53" s="31"/>
      <c r="O53" s="31"/>
    </row>
    <row r="54" spans="1:15" ht="27" customHeight="1" thickBot="1" x14ac:dyDescent="0.25">
      <c r="A54" s="530"/>
      <c r="B54" s="531"/>
      <c r="C54" s="545"/>
      <c r="D54" s="49" t="s">
        <v>131</v>
      </c>
      <c r="E54" s="49"/>
      <c r="F54" s="38">
        <v>1</v>
      </c>
      <c r="G54" s="78"/>
      <c r="H54" s="78"/>
      <c r="I54" s="31"/>
      <c r="J54" s="31"/>
      <c r="K54" s="31"/>
      <c r="L54" s="31"/>
      <c r="M54" s="31"/>
      <c r="N54" s="31"/>
      <c r="O54" s="31"/>
    </row>
    <row r="55" spans="1:15" ht="19.5" customHeight="1" x14ac:dyDescent="0.2">
      <c r="A55" s="542" t="s">
        <v>34</v>
      </c>
      <c r="B55" s="543" t="s">
        <v>7</v>
      </c>
      <c r="C55" s="544" t="s">
        <v>59</v>
      </c>
      <c r="D55" s="47" t="s">
        <v>11</v>
      </c>
      <c r="E55" s="47"/>
      <c r="F55" s="33"/>
      <c r="G55" s="78"/>
      <c r="H55" s="78"/>
      <c r="I55" s="31"/>
      <c r="J55" s="31"/>
      <c r="K55" s="31"/>
      <c r="L55" s="31"/>
      <c r="M55" s="31"/>
      <c r="N55" s="31"/>
      <c r="O55" s="31"/>
    </row>
    <row r="56" spans="1:15" ht="39" customHeight="1" x14ac:dyDescent="0.2">
      <c r="A56" s="530"/>
      <c r="B56" s="531"/>
      <c r="C56" s="545"/>
      <c r="D56" s="49" t="s">
        <v>143</v>
      </c>
      <c r="E56" s="49"/>
      <c r="F56" s="1">
        <v>149</v>
      </c>
      <c r="G56" s="78"/>
      <c r="H56" s="78"/>
      <c r="I56" s="31"/>
      <c r="J56" s="31"/>
      <c r="K56" s="31"/>
      <c r="L56" s="31"/>
      <c r="M56" s="31"/>
      <c r="N56" s="31"/>
      <c r="O56" s="31"/>
    </row>
    <row r="57" spans="1:15" x14ac:dyDescent="0.2">
      <c r="A57" s="530"/>
      <c r="B57" s="531"/>
      <c r="C57" s="545"/>
      <c r="D57" s="49" t="s">
        <v>15</v>
      </c>
      <c r="E57" s="49"/>
      <c r="F57" s="1">
        <v>78</v>
      </c>
      <c r="G57" s="78"/>
      <c r="H57" s="78"/>
      <c r="I57" s="31"/>
      <c r="J57" s="31"/>
      <c r="K57" s="31"/>
      <c r="L57" s="31"/>
      <c r="M57" s="31"/>
      <c r="N57" s="31"/>
      <c r="O57" s="31"/>
    </row>
    <row r="58" spans="1:15" x14ac:dyDescent="0.2">
      <c r="A58" s="530"/>
      <c r="B58" s="531"/>
      <c r="C58" s="545"/>
      <c r="D58" s="49" t="s">
        <v>16</v>
      </c>
      <c r="E58" s="49"/>
      <c r="F58" s="1">
        <v>71</v>
      </c>
      <c r="G58" s="78"/>
      <c r="H58" s="78"/>
      <c r="I58" s="31"/>
      <c r="J58" s="31"/>
      <c r="K58" s="31"/>
      <c r="L58" s="31"/>
      <c r="M58" s="31"/>
      <c r="N58" s="31"/>
      <c r="O58" s="31"/>
    </row>
    <row r="59" spans="1:15" ht="26.25" customHeight="1" x14ac:dyDescent="0.2">
      <c r="A59" s="530"/>
      <c r="B59" s="531"/>
      <c r="C59" s="545"/>
      <c r="D59" s="49" t="s">
        <v>21</v>
      </c>
      <c r="E59" s="49"/>
      <c r="F59" s="18">
        <v>337.37865771812079</v>
      </c>
      <c r="G59" s="78"/>
      <c r="H59" s="78"/>
      <c r="I59" s="31"/>
      <c r="J59" s="31"/>
      <c r="K59" s="31"/>
      <c r="L59" s="31"/>
      <c r="M59" s="31"/>
      <c r="N59" s="31"/>
      <c r="O59" s="31"/>
    </row>
    <row r="60" spans="1:15" ht="27" customHeight="1" thickBot="1" x14ac:dyDescent="0.25">
      <c r="A60" s="530"/>
      <c r="B60" s="531"/>
      <c r="C60" s="545"/>
      <c r="D60" s="49" t="s">
        <v>131</v>
      </c>
      <c r="E60" s="49"/>
      <c r="F60" s="38">
        <v>1</v>
      </c>
      <c r="G60" s="78"/>
      <c r="H60" s="78"/>
      <c r="I60" s="31"/>
      <c r="J60" s="31"/>
      <c r="K60" s="31"/>
      <c r="L60" s="31"/>
      <c r="M60" s="31"/>
      <c r="N60" s="31"/>
      <c r="O60" s="31"/>
    </row>
    <row r="61" spans="1:15" ht="19.5" customHeight="1" x14ac:dyDescent="0.2">
      <c r="A61" s="542" t="s">
        <v>35</v>
      </c>
      <c r="B61" s="543" t="s">
        <v>7</v>
      </c>
      <c r="C61" s="544" t="s">
        <v>59</v>
      </c>
      <c r="D61" s="47" t="s">
        <v>11</v>
      </c>
      <c r="E61" s="47"/>
      <c r="F61" s="33"/>
      <c r="G61" s="78"/>
      <c r="H61" s="78"/>
      <c r="I61" s="31"/>
      <c r="J61" s="31"/>
      <c r="K61" s="31"/>
      <c r="L61" s="31"/>
      <c r="M61" s="31"/>
      <c r="N61" s="31"/>
      <c r="O61" s="31"/>
    </row>
    <row r="62" spans="1:15" ht="39" customHeight="1" x14ac:dyDescent="0.2">
      <c r="A62" s="530"/>
      <c r="B62" s="531"/>
      <c r="C62" s="545"/>
      <c r="D62" s="49" t="s">
        <v>144</v>
      </c>
      <c r="E62" s="49"/>
      <c r="F62" s="1">
        <v>151</v>
      </c>
      <c r="G62" s="78"/>
      <c r="H62" s="78"/>
      <c r="I62" s="31"/>
      <c r="J62" s="31"/>
      <c r="K62" s="31"/>
      <c r="L62" s="31"/>
      <c r="M62" s="31"/>
      <c r="N62" s="31"/>
      <c r="O62" s="31"/>
    </row>
    <row r="63" spans="1:15" x14ac:dyDescent="0.2">
      <c r="A63" s="530"/>
      <c r="B63" s="531"/>
      <c r="C63" s="545"/>
      <c r="D63" s="49" t="s">
        <v>15</v>
      </c>
      <c r="E63" s="49"/>
      <c r="F63" s="1">
        <v>61</v>
      </c>
      <c r="G63" s="78"/>
      <c r="H63" s="78"/>
      <c r="I63" s="31"/>
      <c r="J63" s="31"/>
      <c r="K63" s="31"/>
      <c r="L63" s="31"/>
      <c r="M63" s="31"/>
      <c r="N63" s="31"/>
      <c r="O63" s="31"/>
    </row>
    <row r="64" spans="1:15" x14ac:dyDescent="0.2">
      <c r="A64" s="530"/>
      <c r="B64" s="531"/>
      <c r="C64" s="545"/>
      <c r="D64" s="49" t="s">
        <v>16</v>
      </c>
      <c r="E64" s="49"/>
      <c r="F64" s="1">
        <v>90</v>
      </c>
      <c r="G64" s="78"/>
      <c r="H64" s="78"/>
      <c r="I64" s="31"/>
      <c r="J64" s="31"/>
      <c r="K64" s="31"/>
      <c r="L64" s="31"/>
      <c r="M64" s="31"/>
      <c r="N64" s="31"/>
      <c r="O64" s="31"/>
    </row>
    <row r="65" spans="1:15" ht="26.25" customHeight="1" x14ac:dyDescent="0.2">
      <c r="A65" s="530"/>
      <c r="B65" s="531"/>
      <c r="C65" s="545"/>
      <c r="D65" s="49" t="s">
        <v>21</v>
      </c>
      <c r="E65" s="49"/>
      <c r="F65" s="18">
        <v>229.24251655629141</v>
      </c>
      <c r="G65" s="78"/>
      <c r="H65" s="78"/>
      <c r="I65" s="31"/>
      <c r="J65" s="31"/>
      <c r="K65" s="31"/>
      <c r="L65" s="31"/>
      <c r="M65" s="31"/>
      <c r="N65" s="31"/>
      <c r="O65" s="31"/>
    </row>
    <row r="66" spans="1:15" ht="26.25" customHeight="1" thickBot="1" x14ac:dyDescent="0.25">
      <c r="A66" s="530"/>
      <c r="B66" s="531"/>
      <c r="C66" s="545"/>
      <c r="D66" s="49" t="s">
        <v>131</v>
      </c>
      <c r="E66" s="49"/>
      <c r="F66" s="38">
        <v>1</v>
      </c>
      <c r="G66" s="78"/>
      <c r="H66" s="78"/>
      <c r="I66" s="31"/>
      <c r="J66" s="31"/>
      <c r="K66" s="31"/>
      <c r="L66" s="31"/>
      <c r="M66" s="31"/>
      <c r="N66" s="31"/>
      <c r="O66" s="31"/>
    </row>
    <row r="67" spans="1:15" ht="19.5" customHeight="1" x14ac:dyDescent="0.2">
      <c r="A67" s="542" t="s">
        <v>36</v>
      </c>
      <c r="B67" s="543" t="s">
        <v>7</v>
      </c>
      <c r="C67" s="544" t="s">
        <v>59</v>
      </c>
      <c r="D67" s="47" t="s">
        <v>11</v>
      </c>
      <c r="E67" s="47"/>
      <c r="F67" s="33"/>
      <c r="G67" s="78"/>
      <c r="H67" s="78"/>
      <c r="I67" s="31"/>
      <c r="J67" s="31"/>
      <c r="K67" s="31"/>
      <c r="L67" s="31"/>
      <c r="M67" s="31"/>
      <c r="N67" s="31"/>
      <c r="O67" s="31"/>
    </row>
    <row r="68" spans="1:15" ht="39" customHeight="1" x14ac:dyDescent="0.2">
      <c r="A68" s="530"/>
      <c r="B68" s="531"/>
      <c r="C68" s="545"/>
      <c r="D68" s="49" t="s">
        <v>145</v>
      </c>
      <c r="E68" s="49"/>
      <c r="F68" s="1">
        <v>3</v>
      </c>
      <c r="G68" s="78"/>
      <c r="H68" s="78"/>
      <c r="I68" s="31"/>
      <c r="J68" s="31"/>
      <c r="K68" s="31"/>
      <c r="L68" s="31"/>
      <c r="M68" s="31"/>
      <c r="N68" s="31"/>
      <c r="O68" s="31"/>
    </row>
    <row r="69" spans="1:15" x14ac:dyDescent="0.2">
      <c r="A69" s="530"/>
      <c r="B69" s="531"/>
      <c r="C69" s="545"/>
      <c r="D69" s="49" t="s">
        <v>15</v>
      </c>
      <c r="E69" s="49"/>
      <c r="F69" s="1">
        <v>1</v>
      </c>
      <c r="G69" s="78"/>
      <c r="H69" s="78"/>
      <c r="I69" s="31"/>
      <c r="J69" s="31"/>
      <c r="K69" s="31"/>
      <c r="L69" s="31"/>
      <c r="M69" s="31"/>
      <c r="N69" s="31"/>
      <c r="O69" s="31"/>
    </row>
    <row r="70" spans="1:15" x14ac:dyDescent="0.2">
      <c r="A70" s="530"/>
      <c r="B70" s="531"/>
      <c r="C70" s="545"/>
      <c r="D70" s="49" t="s">
        <v>16</v>
      </c>
      <c r="E70" s="49"/>
      <c r="F70" s="1">
        <v>2</v>
      </c>
      <c r="G70" s="78"/>
      <c r="H70" s="78"/>
      <c r="I70" s="31"/>
      <c r="J70" s="31"/>
      <c r="K70" s="31"/>
      <c r="L70" s="31"/>
      <c r="M70" s="31"/>
      <c r="N70" s="31"/>
      <c r="O70" s="31"/>
    </row>
    <row r="71" spans="1:15" ht="26.25" customHeight="1" x14ac:dyDescent="0.2">
      <c r="A71" s="530"/>
      <c r="B71" s="531"/>
      <c r="C71" s="545"/>
      <c r="D71" s="49" t="s">
        <v>21</v>
      </c>
      <c r="E71" s="49"/>
      <c r="F71" s="18">
        <v>248.34666666666666</v>
      </c>
      <c r="G71" s="78"/>
      <c r="H71" s="78"/>
      <c r="I71" s="31"/>
      <c r="J71" s="31"/>
      <c r="K71" s="31"/>
      <c r="L71" s="31"/>
      <c r="M71" s="31"/>
      <c r="N71" s="31"/>
      <c r="O71" s="31"/>
    </row>
    <row r="72" spans="1:15" ht="27" customHeight="1" thickBot="1" x14ac:dyDescent="0.25">
      <c r="A72" s="530"/>
      <c r="B72" s="531"/>
      <c r="C72" s="545"/>
      <c r="D72" s="49" t="s">
        <v>132</v>
      </c>
      <c r="E72" s="49"/>
      <c r="F72" s="38">
        <v>1</v>
      </c>
      <c r="G72" s="78"/>
      <c r="H72" s="78"/>
      <c r="I72" s="31"/>
      <c r="J72" s="31"/>
      <c r="K72" s="31"/>
      <c r="L72" s="31"/>
      <c r="M72" s="31"/>
      <c r="N72" s="31"/>
      <c r="O72" s="31"/>
    </row>
    <row r="73" spans="1:15" ht="19.5" customHeight="1" x14ac:dyDescent="0.2">
      <c r="A73" s="542" t="s">
        <v>37</v>
      </c>
      <c r="B73" s="543" t="s">
        <v>7</v>
      </c>
      <c r="C73" s="544" t="s">
        <v>59</v>
      </c>
      <c r="D73" s="47" t="s">
        <v>11</v>
      </c>
      <c r="E73" s="47"/>
      <c r="F73" s="33"/>
      <c r="G73" s="78"/>
      <c r="H73" s="78"/>
      <c r="I73" s="31"/>
      <c r="J73" s="31"/>
      <c r="K73" s="31"/>
      <c r="L73" s="31"/>
      <c r="M73" s="31"/>
      <c r="N73" s="31"/>
      <c r="O73" s="31"/>
    </row>
    <row r="74" spans="1:15" ht="39" customHeight="1" x14ac:dyDescent="0.2">
      <c r="A74" s="530"/>
      <c r="B74" s="531"/>
      <c r="C74" s="545"/>
      <c r="D74" s="49" t="s">
        <v>146</v>
      </c>
      <c r="E74" s="49"/>
      <c r="F74" s="1">
        <v>5</v>
      </c>
      <c r="G74" s="78"/>
      <c r="H74" s="78"/>
      <c r="I74" s="31"/>
      <c r="J74" s="31"/>
      <c r="K74" s="31"/>
      <c r="L74" s="31"/>
      <c r="M74" s="31"/>
      <c r="N74" s="31"/>
      <c r="O74" s="31"/>
    </row>
    <row r="75" spans="1:15" x14ac:dyDescent="0.2">
      <c r="A75" s="530"/>
      <c r="B75" s="531"/>
      <c r="C75" s="545"/>
      <c r="D75" s="49" t="s">
        <v>15</v>
      </c>
      <c r="E75" s="49"/>
      <c r="F75" s="1">
        <v>1</v>
      </c>
      <c r="G75" s="78"/>
      <c r="H75" s="78"/>
      <c r="I75" s="31"/>
      <c r="J75" s="31"/>
      <c r="K75" s="31"/>
      <c r="L75" s="31"/>
      <c r="M75" s="31"/>
      <c r="N75" s="31"/>
      <c r="O75" s="31"/>
    </row>
    <row r="76" spans="1:15" x14ac:dyDescent="0.2">
      <c r="A76" s="530"/>
      <c r="B76" s="531"/>
      <c r="C76" s="545"/>
      <c r="D76" s="49" t="s">
        <v>16</v>
      </c>
      <c r="E76" s="49"/>
      <c r="F76" s="1">
        <v>4</v>
      </c>
      <c r="G76" s="78"/>
      <c r="H76" s="78"/>
      <c r="I76" s="31"/>
      <c r="J76" s="31"/>
      <c r="K76" s="31"/>
      <c r="L76" s="31"/>
      <c r="M76" s="31"/>
      <c r="N76" s="31"/>
      <c r="O76" s="31"/>
    </row>
    <row r="77" spans="1:15" ht="26.25" customHeight="1" x14ac:dyDescent="0.2">
      <c r="A77" s="530"/>
      <c r="B77" s="531"/>
      <c r="C77" s="545"/>
      <c r="D77" s="49" t="s">
        <v>21</v>
      </c>
      <c r="E77" s="49"/>
      <c r="F77" s="18">
        <v>189.73599999999999</v>
      </c>
      <c r="G77" s="78"/>
      <c r="H77" s="78"/>
      <c r="I77" s="31"/>
      <c r="J77" s="31"/>
      <c r="K77" s="31"/>
      <c r="L77" s="31"/>
      <c r="M77" s="31"/>
      <c r="N77" s="31"/>
      <c r="O77" s="31"/>
    </row>
    <row r="78" spans="1:15" ht="26.25" customHeight="1" thickBot="1" x14ac:dyDescent="0.25">
      <c r="A78" s="530"/>
      <c r="B78" s="531"/>
      <c r="C78" s="545"/>
      <c r="D78" s="49" t="s">
        <v>131</v>
      </c>
      <c r="E78" s="49"/>
      <c r="F78" s="38">
        <v>1</v>
      </c>
      <c r="G78" s="78"/>
      <c r="H78" s="78"/>
      <c r="I78" s="31"/>
      <c r="J78" s="31"/>
      <c r="K78" s="31"/>
      <c r="L78" s="31"/>
      <c r="M78" s="31"/>
      <c r="N78" s="31"/>
      <c r="O78" s="31"/>
    </row>
    <row r="79" spans="1:15" ht="19.5" customHeight="1" x14ac:dyDescent="0.2">
      <c r="A79" s="542" t="s">
        <v>38</v>
      </c>
      <c r="B79" s="543" t="s">
        <v>7</v>
      </c>
      <c r="C79" s="544" t="s">
        <v>59</v>
      </c>
      <c r="D79" s="47" t="s">
        <v>11</v>
      </c>
      <c r="E79" s="47"/>
      <c r="F79" s="33"/>
      <c r="G79" s="78"/>
      <c r="H79" s="78"/>
      <c r="I79" s="31"/>
      <c r="J79" s="31"/>
      <c r="K79" s="31"/>
      <c r="L79" s="31"/>
      <c r="M79" s="31"/>
      <c r="N79" s="31"/>
      <c r="O79" s="31"/>
    </row>
    <row r="80" spans="1:15" ht="39" customHeight="1" x14ac:dyDescent="0.2">
      <c r="A80" s="530"/>
      <c r="B80" s="531"/>
      <c r="C80" s="545"/>
      <c r="D80" s="49" t="s">
        <v>147</v>
      </c>
      <c r="E80" s="49"/>
      <c r="F80" s="1">
        <v>6</v>
      </c>
      <c r="G80" s="78"/>
      <c r="H80" s="78"/>
      <c r="I80" s="31"/>
      <c r="J80" s="31"/>
      <c r="K80" s="31"/>
      <c r="L80" s="31"/>
      <c r="M80" s="31"/>
      <c r="N80" s="31"/>
      <c r="O80" s="31"/>
    </row>
    <row r="81" spans="1:15" x14ac:dyDescent="0.2">
      <c r="A81" s="530"/>
      <c r="B81" s="531"/>
      <c r="C81" s="545"/>
      <c r="D81" s="49" t="s">
        <v>15</v>
      </c>
      <c r="E81" s="49"/>
      <c r="F81" s="1">
        <v>1</v>
      </c>
      <c r="G81" s="78"/>
      <c r="H81" s="78"/>
      <c r="I81" s="31"/>
      <c r="J81" s="31"/>
      <c r="K81" s="31"/>
      <c r="L81" s="31"/>
      <c r="M81" s="31"/>
      <c r="N81" s="31"/>
      <c r="O81" s="31"/>
    </row>
    <row r="82" spans="1:15" x14ac:dyDescent="0.2">
      <c r="A82" s="530"/>
      <c r="B82" s="531"/>
      <c r="C82" s="545"/>
      <c r="D82" s="49" t="s">
        <v>16</v>
      </c>
      <c r="E82" s="49"/>
      <c r="F82" s="1">
        <v>5</v>
      </c>
      <c r="G82" s="78"/>
      <c r="H82" s="78"/>
      <c r="I82" s="31"/>
      <c r="J82" s="31"/>
      <c r="K82" s="31"/>
      <c r="L82" s="31"/>
      <c r="M82" s="31"/>
      <c r="N82" s="31"/>
      <c r="O82" s="31"/>
    </row>
    <row r="83" spans="1:15" ht="26.25" customHeight="1" x14ac:dyDescent="0.2">
      <c r="A83" s="530"/>
      <c r="B83" s="531"/>
      <c r="C83" s="545"/>
      <c r="D83" s="49" t="s">
        <v>21</v>
      </c>
      <c r="E83" s="49"/>
      <c r="F83" s="18">
        <v>53.441666666666663</v>
      </c>
      <c r="G83" s="78"/>
      <c r="H83" s="78"/>
      <c r="I83" s="31"/>
      <c r="J83" s="31"/>
      <c r="K83" s="31"/>
      <c r="L83" s="31"/>
      <c r="M83" s="31"/>
      <c r="N83" s="31"/>
      <c r="O83" s="31"/>
    </row>
    <row r="84" spans="1:15" ht="27" customHeight="1" thickBot="1" x14ac:dyDescent="0.25">
      <c r="A84" s="530"/>
      <c r="B84" s="531"/>
      <c r="C84" s="545"/>
      <c r="D84" s="49" t="s">
        <v>131</v>
      </c>
      <c r="E84" s="49"/>
      <c r="F84" s="38">
        <v>1</v>
      </c>
      <c r="G84" s="78"/>
      <c r="H84" s="78"/>
      <c r="I84" s="31"/>
      <c r="J84" s="31"/>
      <c r="K84" s="31"/>
      <c r="L84" s="31"/>
      <c r="M84" s="31"/>
      <c r="N84" s="31"/>
      <c r="O84" s="31"/>
    </row>
    <row r="85" spans="1:15" ht="19.5" customHeight="1" x14ac:dyDescent="0.2">
      <c r="A85" s="542" t="s">
        <v>39</v>
      </c>
      <c r="B85" s="543" t="s">
        <v>7</v>
      </c>
      <c r="C85" s="544" t="s">
        <v>59</v>
      </c>
      <c r="D85" s="47" t="s">
        <v>11</v>
      </c>
      <c r="E85" s="47"/>
      <c r="F85" s="33"/>
      <c r="G85" s="78"/>
      <c r="H85" s="78"/>
      <c r="I85" s="31"/>
      <c r="J85" s="31"/>
      <c r="K85" s="31"/>
      <c r="L85" s="31"/>
      <c r="M85" s="31"/>
      <c r="N85" s="31"/>
      <c r="O85" s="31"/>
    </row>
    <row r="86" spans="1:15" ht="38.25" x14ac:dyDescent="0.2">
      <c r="A86" s="530"/>
      <c r="B86" s="531"/>
      <c r="C86" s="545"/>
      <c r="D86" s="49" t="s">
        <v>148</v>
      </c>
      <c r="E86" s="49"/>
      <c r="F86" s="1">
        <v>74</v>
      </c>
      <c r="G86" s="78"/>
      <c r="H86" s="78"/>
      <c r="I86" s="31"/>
      <c r="J86" s="31"/>
      <c r="K86" s="31"/>
      <c r="L86" s="31"/>
      <c r="M86" s="31"/>
      <c r="N86" s="31"/>
      <c r="O86" s="31"/>
    </row>
    <row r="87" spans="1:15" x14ac:dyDescent="0.2">
      <c r="A87" s="530"/>
      <c r="B87" s="531"/>
      <c r="C87" s="545"/>
      <c r="D87" s="49" t="s">
        <v>15</v>
      </c>
      <c r="E87" s="49"/>
      <c r="F87" s="1">
        <v>58</v>
      </c>
      <c r="G87" s="78"/>
      <c r="H87" s="78"/>
      <c r="I87" s="31"/>
      <c r="J87" s="31"/>
      <c r="K87" s="31"/>
      <c r="L87" s="31"/>
      <c r="M87" s="31"/>
      <c r="N87" s="31"/>
      <c r="O87" s="31"/>
    </row>
    <row r="88" spans="1:15" x14ac:dyDescent="0.2">
      <c r="A88" s="530"/>
      <c r="B88" s="531"/>
      <c r="C88" s="545"/>
      <c r="D88" s="49" t="s">
        <v>16</v>
      </c>
      <c r="E88" s="49"/>
      <c r="F88" s="1">
        <v>16</v>
      </c>
      <c r="G88" s="78"/>
      <c r="H88" s="78"/>
      <c r="I88" s="31"/>
      <c r="J88" s="31"/>
      <c r="K88" s="31"/>
      <c r="L88" s="31"/>
      <c r="M88" s="31"/>
      <c r="N88" s="31"/>
      <c r="O88" s="31"/>
    </row>
    <row r="89" spans="1:15" ht="25.5" x14ac:dyDescent="0.2">
      <c r="A89" s="530"/>
      <c r="B89" s="531"/>
      <c r="C89" s="545"/>
      <c r="D89" s="49" t="s">
        <v>21</v>
      </c>
      <c r="E89" s="49"/>
      <c r="F89" s="18">
        <v>245.25702702702702</v>
      </c>
      <c r="G89" s="78"/>
      <c r="H89" s="78"/>
      <c r="I89" s="31"/>
      <c r="J89" s="31"/>
      <c r="K89" s="31"/>
      <c r="L89" s="31"/>
      <c r="M89" s="31"/>
      <c r="N89" s="31"/>
      <c r="O89" s="31"/>
    </row>
    <row r="90" spans="1:15" ht="26.25" thickBot="1" x14ac:dyDescent="0.25">
      <c r="A90" s="530"/>
      <c r="B90" s="531"/>
      <c r="C90" s="545"/>
      <c r="D90" s="49" t="s">
        <v>131</v>
      </c>
      <c r="E90" s="49"/>
      <c r="F90" s="38">
        <v>1</v>
      </c>
      <c r="G90" s="78"/>
      <c r="H90" s="78"/>
      <c r="I90" s="31"/>
      <c r="J90" s="31"/>
      <c r="K90" s="31"/>
      <c r="L90" s="31"/>
      <c r="M90" s="31"/>
      <c r="N90" s="31"/>
      <c r="O90" s="31"/>
    </row>
    <row r="91" spans="1:15" ht="19.5" customHeight="1" x14ac:dyDescent="0.2">
      <c r="A91" s="542" t="s">
        <v>71</v>
      </c>
      <c r="B91" s="543" t="s">
        <v>7</v>
      </c>
      <c r="C91" s="544" t="s">
        <v>59</v>
      </c>
      <c r="D91" s="47" t="s">
        <v>11</v>
      </c>
      <c r="E91" s="47"/>
      <c r="F91" s="33"/>
      <c r="G91" s="78"/>
      <c r="H91" s="78"/>
      <c r="I91" s="31"/>
      <c r="J91" s="31"/>
      <c r="K91" s="31"/>
      <c r="L91" s="31"/>
      <c r="M91" s="31"/>
      <c r="N91" s="31"/>
      <c r="O91" s="31"/>
    </row>
    <row r="92" spans="1:15" ht="51.75" customHeight="1" x14ac:dyDescent="0.2">
      <c r="A92" s="530"/>
      <c r="B92" s="531"/>
      <c r="C92" s="545"/>
      <c r="D92" s="49" t="s">
        <v>149</v>
      </c>
      <c r="E92" s="49"/>
      <c r="F92" s="1">
        <v>32</v>
      </c>
      <c r="G92" s="78"/>
      <c r="H92" s="78"/>
      <c r="I92" s="31"/>
      <c r="J92" s="31"/>
      <c r="K92" s="31"/>
      <c r="L92" s="31"/>
      <c r="M92" s="31"/>
      <c r="N92" s="31"/>
      <c r="O92" s="31"/>
    </row>
    <row r="93" spans="1:15" x14ac:dyDescent="0.2">
      <c r="A93" s="530"/>
      <c r="B93" s="531"/>
      <c r="C93" s="545"/>
      <c r="D93" s="49" t="s">
        <v>15</v>
      </c>
      <c r="E93" s="49"/>
      <c r="F93" s="1">
        <v>16</v>
      </c>
      <c r="G93" s="78"/>
      <c r="H93" s="78"/>
      <c r="I93" s="31"/>
      <c r="J93" s="31"/>
      <c r="K93" s="31"/>
      <c r="L93" s="31"/>
      <c r="M93" s="31"/>
      <c r="N93" s="31"/>
      <c r="O93" s="31"/>
    </row>
    <row r="94" spans="1:15" x14ac:dyDescent="0.2">
      <c r="A94" s="530"/>
      <c r="B94" s="531"/>
      <c r="C94" s="545"/>
      <c r="D94" s="49" t="s">
        <v>16</v>
      </c>
      <c r="E94" s="49"/>
      <c r="F94" s="1">
        <v>16</v>
      </c>
      <c r="G94" s="78"/>
      <c r="H94" s="78"/>
      <c r="I94" s="31"/>
      <c r="J94" s="31"/>
      <c r="K94" s="31"/>
      <c r="L94" s="31"/>
      <c r="M94" s="31"/>
      <c r="N94" s="31"/>
      <c r="O94" s="31"/>
    </row>
    <row r="95" spans="1:15" ht="26.25" customHeight="1" x14ac:dyDescent="0.2">
      <c r="A95" s="530"/>
      <c r="B95" s="531"/>
      <c r="C95" s="545"/>
      <c r="D95" s="49" t="s">
        <v>21</v>
      </c>
      <c r="E95" s="49"/>
      <c r="F95" s="18">
        <v>10110.929375</v>
      </c>
      <c r="G95" s="78"/>
      <c r="H95" s="78"/>
      <c r="I95" s="31"/>
      <c r="J95" s="31"/>
      <c r="K95" s="31"/>
      <c r="L95" s="31"/>
      <c r="M95" s="31"/>
      <c r="N95" s="31"/>
      <c r="O95" s="31"/>
    </row>
    <row r="96" spans="1:15" ht="27" customHeight="1" thickBot="1" x14ac:dyDescent="0.25">
      <c r="A96" s="530"/>
      <c r="B96" s="531"/>
      <c r="C96" s="545"/>
      <c r="D96" s="49" t="s">
        <v>131</v>
      </c>
      <c r="E96" s="49"/>
      <c r="F96" s="38">
        <v>1</v>
      </c>
      <c r="G96" s="78"/>
      <c r="H96" s="78"/>
      <c r="I96" s="31"/>
      <c r="J96" s="31"/>
      <c r="K96" s="31"/>
      <c r="L96" s="31"/>
      <c r="M96" s="31"/>
      <c r="N96" s="31"/>
      <c r="O96" s="31"/>
    </row>
    <row r="97" spans="1:15" ht="19.5" customHeight="1" x14ac:dyDescent="0.2">
      <c r="A97" s="542" t="s">
        <v>72</v>
      </c>
      <c r="B97" s="543" t="s">
        <v>7</v>
      </c>
      <c r="C97" s="544" t="s">
        <v>59</v>
      </c>
      <c r="D97" s="47" t="s">
        <v>11</v>
      </c>
      <c r="E97" s="47"/>
      <c r="F97" s="33"/>
      <c r="G97" s="78"/>
      <c r="H97" s="78"/>
      <c r="I97" s="31"/>
      <c r="J97" s="31"/>
      <c r="K97" s="31"/>
      <c r="L97" s="31"/>
      <c r="M97" s="31"/>
      <c r="N97" s="31"/>
      <c r="O97" s="31"/>
    </row>
    <row r="98" spans="1:15" ht="51.75" customHeight="1" x14ac:dyDescent="0.2">
      <c r="A98" s="530"/>
      <c r="B98" s="531"/>
      <c r="C98" s="545"/>
      <c r="D98" s="49" t="s">
        <v>150</v>
      </c>
      <c r="E98" s="49"/>
      <c r="F98" s="1">
        <v>41</v>
      </c>
      <c r="G98" s="78"/>
      <c r="H98" s="78"/>
      <c r="I98" s="31"/>
      <c r="J98" s="31"/>
      <c r="K98" s="31"/>
      <c r="L98" s="31"/>
      <c r="M98" s="31"/>
      <c r="N98" s="31"/>
      <c r="O98" s="31"/>
    </row>
    <row r="99" spans="1:15" x14ac:dyDescent="0.2">
      <c r="A99" s="530"/>
      <c r="B99" s="531"/>
      <c r="C99" s="545"/>
      <c r="D99" s="49" t="s">
        <v>15</v>
      </c>
      <c r="E99" s="49"/>
      <c r="F99" s="1">
        <v>20</v>
      </c>
      <c r="G99" s="78"/>
      <c r="H99" s="78"/>
      <c r="I99" s="31"/>
      <c r="J99" s="31"/>
      <c r="K99" s="31"/>
      <c r="L99" s="31"/>
      <c r="M99" s="31"/>
      <c r="N99" s="31"/>
      <c r="O99" s="31"/>
    </row>
    <row r="100" spans="1:15" x14ac:dyDescent="0.2">
      <c r="A100" s="530"/>
      <c r="B100" s="531"/>
      <c r="C100" s="545"/>
      <c r="D100" s="49" t="s">
        <v>16</v>
      </c>
      <c r="E100" s="49"/>
      <c r="F100" s="1">
        <v>21</v>
      </c>
      <c r="G100" s="78"/>
      <c r="H100" s="78"/>
      <c r="I100" s="31"/>
      <c r="J100" s="31"/>
      <c r="K100" s="31"/>
      <c r="L100" s="31"/>
      <c r="M100" s="31"/>
      <c r="N100" s="31"/>
      <c r="O100" s="31"/>
    </row>
    <row r="101" spans="1:15" ht="26.25" customHeight="1" x14ac:dyDescent="0.2">
      <c r="A101" s="530"/>
      <c r="B101" s="531"/>
      <c r="C101" s="545"/>
      <c r="D101" s="49" t="s">
        <v>21</v>
      </c>
      <c r="E101" s="49"/>
      <c r="F101" s="18">
        <v>116.78048780487805</v>
      </c>
      <c r="G101" s="78"/>
      <c r="H101" s="78"/>
      <c r="I101" s="31"/>
      <c r="J101" s="31"/>
      <c r="K101" s="31"/>
      <c r="L101" s="31"/>
      <c r="M101" s="31"/>
      <c r="N101" s="31"/>
      <c r="O101" s="31"/>
    </row>
    <row r="102" spans="1:15" ht="27" customHeight="1" thickBot="1" x14ac:dyDescent="0.25">
      <c r="A102" s="530"/>
      <c r="B102" s="531"/>
      <c r="C102" s="545"/>
      <c r="D102" s="52" t="s">
        <v>131</v>
      </c>
      <c r="E102" s="52"/>
      <c r="F102" s="23">
        <v>1</v>
      </c>
      <c r="G102" s="78"/>
      <c r="H102" s="78"/>
      <c r="I102" s="31"/>
      <c r="J102" s="31"/>
      <c r="K102" s="31"/>
      <c r="L102" s="31"/>
      <c r="M102" s="31"/>
      <c r="N102" s="31"/>
      <c r="O102" s="31"/>
    </row>
    <row r="103" spans="1:15" ht="20.25" customHeight="1" x14ac:dyDescent="0.2">
      <c r="A103" s="542" t="s">
        <v>73</v>
      </c>
      <c r="B103" s="543" t="s">
        <v>7</v>
      </c>
      <c r="C103" s="544" t="s">
        <v>59</v>
      </c>
      <c r="D103" s="37" t="s">
        <v>11</v>
      </c>
      <c r="E103" s="47"/>
      <c r="F103" s="33"/>
      <c r="G103" s="78"/>
      <c r="H103" s="78"/>
      <c r="I103" s="31"/>
      <c r="J103" s="31"/>
      <c r="K103" s="31"/>
      <c r="L103" s="31"/>
      <c r="M103" s="31"/>
      <c r="N103" s="31"/>
      <c r="O103" s="31"/>
    </row>
    <row r="104" spans="1:15" ht="25.5" customHeight="1" x14ac:dyDescent="0.2">
      <c r="A104" s="530"/>
      <c r="B104" s="531"/>
      <c r="C104" s="545"/>
      <c r="D104" s="21" t="s">
        <v>74</v>
      </c>
      <c r="E104" s="49"/>
      <c r="F104" s="1">
        <v>6</v>
      </c>
      <c r="G104" s="78"/>
      <c r="H104" s="78"/>
      <c r="I104" s="31"/>
      <c r="J104" s="31"/>
      <c r="K104" s="31"/>
      <c r="L104" s="31"/>
      <c r="M104" s="31"/>
      <c r="N104" s="31"/>
      <c r="O104" s="31"/>
    </row>
    <row r="105" spans="1:15" x14ac:dyDescent="0.2">
      <c r="A105" s="530"/>
      <c r="B105" s="531"/>
      <c r="C105" s="545"/>
      <c r="D105" s="21" t="s">
        <v>15</v>
      </c>
      <c r="E105" s="49"/>
      <c r="F105" s="1">
        <v>3</v>
      </c>
      <c r="G105" s="78"/>
      <c r="H105" s="78"/>
      <c r="I105" s="31"/>
      <c r="J105" s="31"/>
      <c r="K105" s="31"/>
      <c r="L105" s="31"/>
      <c r="M105" s="31"/>
      <c r="N105" s="31"/>
      <c r="O105" s="31"/>
    </row>
    <row r="106" spans="1:15" x14ac:dyDescent="0.2">
      <c r="A106" s="530"/>
      <c r="B106" s="531"/>
      <c r="C106" s="545"/>
      <c r="D106" s="21" t="s">
        <v>16</v>
      </c>
      <c r="E106" s="49"/>
      <c r="F106" s="1">
        <v>3</v>
      </c>
      <c r="G106" s="78"/>
      <c r="H106" s="78"/>
      <c r="I106" s="31"/>
      <c r="J106" s="31"/>
      <c r="K106" s="31"/>
      <c r="L106" s="31"/>
      <c r="M106" s="31"/>
      <c r="N106" s="31"/>
      <c r="O106" s="31"/>
    </row>
    <row r="107" spans="1:15" ht="26.25" customHeight="1" x14ac:dyDescent="0.2">
      <c r="A107" s="530"/>
      <c r="B107" s="531"/>
      <c r="C107" s="545"/>
      <c r="D107" s="21" t="s">
        <v>21</v>
      </c>
      <c r="E107" s="49"/>
      <c r="F107" s="18">
        <v>8518.24</v>
      </c>
      <c r="G107" s="78"/>
      <c r="H107" s="78"/>
      <c r="I107" s="31"/>
      <c r="J107" s="31"/>
      <c r="K107" s="31"/>
      <c r="L107" s="31"/>
      <c r="M107" s="31"/>
      <c r="N107" s="31"/>
      <c r="O107" s="31"/>
    </row>
    <row r="108" spans="1:15" ht="27" customHeight="1" thickBot="1" x14ac:dyDescent="0.25">
      <c r="A108" s="530"/>
      <c r="B108" s="531"/>
      <c r="C108" s="545"/>
      <c r="D108" s="53" t="s">
        <v>131</v>
      </c>
      <c r="E108" s="69"/>
      <c r="F108" s="54">
        <v>1</v>
      </c>
      <c r="G108" s="78"/>
      <c r="H108" s="78"/>
      <c r="I108" s="31"/>
      <c r="J108" s="31"/>
      <c r="K108" s="31"/>
      <c r="L108" s="31"/>
      <c r="M108" s="31"/>
      <c r="N108" s="31"/>
      <c r="O108" s="31"/>
    </row>
    <row r="109" spans="1:15" x14ac:dyDescent="0.2">
      <c r="A109" s="542" t="s">
        <v>40</v>
      </c>
      <c r="B109" s="543" t="s">
        <v>7</v>
      </c>
      <c r="C109" s="543" t="s">
        <v>59</v>
      </c>
      <c r="D109" s="43" t="s">
        <v>11</v>
      </c>
      <c r="E109" s="48"/>
      <c r="F109" s="26"/>
      <c r="G109" s="78"/>
      <c r="H109" s="78"/>
      <c r="I109" s="31"/>
      <c r="J109" s="31"/>
      <c r="K109" s="31"/>
      <c r="L109" s="31"/>
      <c r="M109" s="31"/>
      <c r="N109" s="31"/>
      <c r="O109" s="31"/>
    </row>
    <row r="110" spans="1:15" ht="38.25" x14ac:dyDescent="0.2">
      <c r="A110" s="530"/>
      <c r="B110" s="531"/>
      <c r="C110" s="531"/>
      <c r="D110" s="21" t="s">
        <v>151</v>
      </c>
      <c r="E110" s="49"/>
      <c r="F110" s="1">
        <v>1</v>
      </c>
      <c r="G110" s="78"/>
      <c r="H110" s="78"/>
      <c r="I110" s="31"/>
      <c r="J110" s="31"/>
      <c r="K110" s="31"/>
      <c r="L110" s="31"/>
      <c r="M110" s="31"/>
      <c r="N110" s="31"/>
      <c r="O110" s="31"/>
    </row>
    <row r="111" spans="1:15" ht="25.5" x14ac:dyDescent="0.2">
      <c r="A111" s="530"/>
      <c r="B111" s="531"/>
      <c r="C111" s="531"/>
      <c r="D111" s="21" t="s">
        <v>21</v>
      </c>
      <c r="E111" s="49"/>
      <c r="F111" s="18">
        <v>29985.66</v>
      </c>
      <c r="G111" s="78"/>
      <c r="H111" s="78"/>
      <c r="I111" s="31"/>
      <c r="J111" s="31"/>
      <c r="K111" s="31"/>
      <c r="L111" s="31"/>
      <c r="M111" s="31"/>
      <c r="N111" s="31"/>
      <c r="O111" s="31"/>
    </row>
    <row r="112" spans="1:15" ht="26.25" thickBot="1" x14ac:dyDescent="0.25">
      <c r="A112" s="530"/>
      <c r="B112" s="531"/>
      <c r="C112" s="531"/>
      <c r="D112" s="21" t="s">
        <v>131</v>
      </c>
      <c r="E112" s="49"/>
      <c r="F112" s="38">
        <v>1</v>
      </c>
      <c r="G112" s="78"/>
      <c r="H112" s="78"/>
      <c r="I112" s="31"/>
      <c r="J112" s="31"/>
      <c r="K112" s="31"/>
      <c r="L112" s="31"/>
      <c r="M112" s="31"/>
      <c r="N112" s="31"/>
      <c r="O112" s="31"/>
    </row>
    <row r="113" spans="1:15" ht="19.5" customHeight="1" x14ac:dyDescent="0.2">
      <c r="A113" s="542" t="s">
        <v>41</v>
      </c>
      <c r="B113" s="543" t="s">
        <v>7</v>
      </c>
      <c r="C113" s="544" t="s">
        <v>59</v>
      </c>
      <c r="D113" s="47" t="s">
        <v>11</v>
      </c>
      <c r="E113" s="47"/>
      <c r="F113" s="33"/>
      <c r="G113" s="78"/>
      <c r="H113" s="78"/>
      <c r="I113" s="31"/>
      <c r="J113" s="31"/>
      <c r="K113" s="31"/>
      <c r="L113" s="31"/>
      <c r="M113" s="31"/>
      <c r="N113" s="31"/>
      <c r="O113" s="31"/>
    </row>
    <row r="114" spans="1:15" ht="39" customHeight="1" x14ac:dyDescent="0.2">
      <c r="A114" s="530"/>
      <c r="B114" s="531"/>
      <c r="C114" s="545"/>
      <c r="D114" s="49" t="s">
        <v>152</v>
      </c>
      <c r="E114" s="49"/>
      <c r="F114" s="1">
        <v>10</v>
      </c>
      <c r="G114" s="78"/>
      <c r="H114" s="78"/>
      <c r="I114" s="31"/>
      <c r="J114" s="31"/>
      <c r="K114" s="31"/>
      <c r="L114" s="31"/>
      <c r="M114" s="31"/>
      <c r="N114" s="31"/>
      <c r="O114" s="31"/>
    </row>
    <row r="115" spans="1:15" x14ac:dyDescent="0.2">
      <c r="A115" s="530"/>
      <c r="B115" s="531"/>
      <c r="C115" s="545"/>
      <c r="D115" s="49" t="s">
        <v>15</v>
      </c>
      <c r="E115" s="49"/>
      <c r="F115" s="1">
        <v>6</v>
      </c>
      <c r="G115" s="78"/>
      <c r="H115" s="78"/>
      <c r="I115" s="31"/>
      <c r="J115" s="31"/>
      <c r="K115" s="31"/>
      <c r="L115" s="31"/>
      <c r="M115" s="31"/>
      <c r="N115" s="31"/>
      <c r="O115" s="31"/>
    </row>
    <row r="116" spans="1:15" x14ac:dyDescent="0.2">
      <c r="A116" s="530"/>
      <c r="B116" s="531"/>
      <c r="C116" s="545"/>
      <c r="D116" s="49" t="s">
        <v>16</v>
      </c>
      <c r="E116" s="49"/>
      <c r="F116" s="1">
        <v>4</v>
      </c>
      <c r="G116" s="78"/>
      <c r="H116" s="78"/>
      <c r="I116" s="31"/>
      <c r="J116" s="31"/>
      <c r="K116" s="31"/>
      <c r="L116" s="31"/>
      <c r="M116" s="31"/>
      <c r="N116" s="31"/>
      <c r="O116" s="31"/>
    </row>
    <row r="117" spans="1:15" ht="26.25" customHeight="1" x14ac:dyDescent="0.2">
      <c r="A117" s="530"/>
      <c r="B117" s="531"/>
      <c r="C117" s="545"/>
      <c r="D117" s="49" t="s">
        <v>21</v>
      </c>
      <c r="E117" s="49"/>
      <c r="F117" s="18">
        <v>2743.4870000000001</v>
      </c>
      <c r="G117" s="78"/>
      <c r="H117" s="78"/>
      <c r="I117" s="31"/>
      <c r="J117" s="31"/>
      <c r="K117" s="31"/>
      <c r="L117" s="31"/>
      <c r="M117" s="31"/>
      <c r="N117" s="31"/>
      <c r="O117" s="31"/>
    </row>
    <row r="118" spans="1:15" ht="27" customHeight="1" thickBot="1" x14ac:dyDescent="0.25">
      <c r="A118" s="530"/>
      <c r="B118" s="531"/>
      <c r="C118" s="545"/>
      <c r="D118" s="49" t="s">
        <v>131</v>
      </c>
      <c r="E118" s="49"/>
      <c r="F118" s="38">
        <v>1</v>
      </c>
      <c r="G118" s="78"/>
      <c r="H118" s="78"/>
      <c r="I118" s="31"/>
      <c r="J118" s="31"/>
      <c r="K118" s="31"/>
      <c r="L118" s="31"/>
      <c r="M118" s="31"/>
      <c r="N118" s="31"/>
      <c r="O118" s="31"/>
    </row>
    <row r="119" spans="1:15" ht="19.5" customHeight="1" x14ac:dyDescent="0.2">
      <c r="A119" s="542" t="s">
        <v>42</v>
      </c>
      <c r="B119" s="543" t="s">
        <v>7</v>
      </c>
      <c r="C119" s="544" t="s">
        <v>59</v>
      </c>
      <c r="D119" s="47" t="s">
        <v>11</v>
      </c>
      <c r="E119" s="47"/>
      <c r="F119" s="33"/>
      <c r="G119" s="78"/>
      <c r="H119" s="78"/>
      <c r="I119" s="31"/>
      <c r="J119" s="31"/>
      <c r="K119" s="31"/>
      <c r="L119" s="31"/>
      <c r="M119" s="31"/>
      <c r="N119" s="31"/>
      <c r="O119" s="31"/>
    </row>
    <row r="120" spans="1:15" ht="39" customHeight="1" x14ac:dyDescent="0.2">
      <c r="A120" s="530"/>
      <c r="B120" s="531"/>
      <c r="C120" s="545"/>
      <c r="D120" s="49" t="s">
        <v>153</v>
      </c>
      <c r="E120" s="49"/>
      <c r="F120" s="1">
        <v>7</v>
      </c>
      <c r="G120" s="78"/>
      <c r="H120" s="78"/>
      <c r="I120" s="31"/>
      <c r="J120" s="31"/>
      <c r="K120" s="31"/>
      <c r="L120" s="31"/>
      <c r="M120" s="31"/>
      <c r="N120" s="31"/>
      <c r="O120" s="31"/>
    </row>
    <row r="121" spans="1:15" x14ac:dyDescent="0.2">
      <c r="A121" s="530"/>
      <c r="B121" s="531"/>
      <c r="C121" s="545"/>
      <c r="D121" s="49" t="s">
        <v>15</v>
      </c>
      <c r="E121" s="49"/>
      <c r="F121" s="1">
        <v>4</v>
      </c>
      <c r="G121" s="78"/>
      <c r="H121" s="78"/>
      <c r="I121" s="31"/>
      <c r="J121" s="31"/>
      <c r="K121" s="31"/>
      <c r="L121" s="31"/>
      <c r="M121" s="31"/>
      <c r="N121" s="31"/>
      <c r="O121" s="31"/>
    </row>
    <row r="122" spans="1:15" x14ac:dyDescent="0.2">
      <c r="A122" s="530"/>
      <c r="B122" s="531"/>
      <c r="C122" s="545"/>
      <c r="D122" s="49" t="s">
        <v>16</v>
      </c>
      <c r="E122" s="49"/>
      <c r="F122" s="1">
        <v>3</v>
      </c>
      <c r="G122" s="78"/>
      <c r="H122" s="78"/>
      <c r="I122" s="31"/>
      <c r="J122" s="31"/>
      <c r="K122" s="31"/>
      <c r="L122" s="31"/>
      <c r="M122" s="31"/>
      <c r="N122" s="31"/>
      <c r="O122" s="31"/>
    </row>
    <row r="123" spans="1:15" ht="26.25" customHeight="1" x14ac:dyDescent="0.2">
      <c r="A123" s="530"/>
      <c r="B123" s="531"/>
      <c r="C123" s="545"/>
      <c r="D123" s="49" t="s">
        <v>10</v>
      </c>
      <c r="E123" s="49"/>
      <c r="F123" s="18">
        <v>139.85857142857142</v>
      </c>
      <c r="G123" s="78"/>
      <c r="H123" s="78"/>
      <c r="I123" s="31"/>
      <c r="J123" s="31"/>
      <c r="K123" s="31"/>
      <c r="L123" s="31"/>
      <c r="M123" s="31"/>
      <c r="N123" s="31"/>
      <c r="O123" s="31"/>
    </row>
    <row r="124" spans="1:15" ht="27" customHeight="1" thickBot="1" x14ac:dyDescent="0.25">
      <c r="A124" s="530"/>
      <c r="B124" s="531"/>
      <c r="C124" s="545"/>
      <c r="D124" s="49" t="s">
        <v>131</v>
      </c>
      <c r="E124" s="49"/>
      <c r="F124" s="38">
        <v>1</v>
      </c>
      <c r="G124" s="78"/>
      <c r="H124" s="78"/>
      <c r="I124" s="31"/>
      <c r="J124" s="31"/>
      <c r="K124" s="31"/>
      <c r="L124" s="31"/>
      <c r="M124" s="31"/>
      <c r="N124" s="31"/>
      <c r="O124" s="31"/>
    </row>
    <row r="125" spans="1:15" ht="19.5" customHeight="1" x14ac:dyDescent="0.2">
      <c r="A125" s="542" t="s">
        <v>112</v>
      </c>
      <c r="B125" s="543" t="s">
        <v>7</v>
      </c>
      <c r="C125" s="544" t="s">
        <v>59</v>
      </c>
      <c r="D125" s="47" t="s">
        <v>11</v>
      </c>
      <c r="E125" s="47"/>
      <c r="F125" s="33"/>
      <c r="G125" s="78"/>
      <c r="H125" s="78"/>
      <c r="I125" s="31"/>
      <c r="J125" s="31"/>
      <c r="K125" s="31"/>
      <c r="L125" s="31"/>
      <c r="M125" s="31"/>
      <c r="N125" s="31"/>
      <c r="O125" s="31"/>
    </row>
    <row r="126" spans="1:15" ht="64.5" customHeight="1" x14ac:dyDescent="0.2">
      <c r="A126" s="530"/>
      <c r="B126" s="531"/>
      <c r="C126" s="545"/>
      <c r="D126" s="49" t="s">
        <v>75</v>
      </c>
      <c r="E126" s="49"/>
      <c r="F126" s="1">
        <v>164</v>
      </c>
      <c r="G126" s="78"/>
      <c r="H126" s="78"/>
      <c r="I126" s="31"/>
      <c r="J126" s="31"/>
      <c r="K126" s="31"/>
      <c r="L126" s="31"/>
      <c r="M126" s="31"/>
      <c r="N126" s="31"/>
      <c r="O126" s="31"/>
    </row>
    <row r="127" spans="1:15" x14ac:dyDescent="0.2">
      <c r="A127" s="530"/>
      <c r="B127" s="531"/>
      <c r="C127" s="545"/>
      <c r="D127" s="49" t="s">
        <v>15</v>
      </c>
      <c r="E127" s="49"/>
      <c r="F127" s="1">
        <v>99</v>
      </c>
      <c r="G127" s="78"/>
      <c r="H127" s="78"/>
      <c r="I127" s="31"/>
      <c r="J127" s="31"/>
      <c r="K127" s="31"/>
      <c r="L127" s="31"/>
      <c r="M127" s="31"/>
      <c r="N127" s="31"/>
      <c r="O127" s="31"/>
    </row>
    <row r="128" spans="1:15" x14ac:dyDescent="0.2">
      <c r="A128" s="530"/>
      <c r="B128" s="531"/>
      <c r="C128" s="545"/>
      <c r="D128" s="49" t="s">
        <v>16</v>
      </c>
      <c r="E128" s="49"/>
      <c r="F128" s="1">
        <v>65</v>
      </c>
      <c r="G128" s="78"/>
      <c r="H128" s="78"/>
      <c r="I128" s="31"/>
      <c r="J128" s="31"/>
      <c r="K128" s="31"/>
      <c r="L128" s="31"/>
      <c r="M128" s="31"/>
      <c r="N128" s="31"/>
      <c r="O128" s="31"/>
    </row>
    <row r="129" spans="1:15" ht="26.25" customHeight="1" x14ac:dyDescent="0.2">
      <c r="A129" s="530"/>
      <c r="B129" s="531"/>
      <c r="C129" s="545"/>
      <c r="D129" s="49" t="s">
        <v>21</v>
      </c>
      <c r="E129" s="49"/>
      <c r="F129" s="18">
        <v>57.177012195121954</v>
      </c>
      <c r="G129" s="78"/>
      <c r="H129" s="78"/>
      <c r="I129" s="31"/>
      <c r="J129" s="31"/>
      <c r="K129" s="31"/>
      <c r="L129" s="31"/>
      <c r="M129" s="31"/>
      <c r="N129" s="31"/>
      <c r="O129" s="31"/>
    </row>
    <row r="130" spans="1:15" ht="27" customHeight="1" thickBot="1" x14ac:dyDescent="0.25">
      <c r="A130" s="530"/>
      <c r="B130" s="531"/>
      <c r="C130" s="545"/>
      <c r="D130" s="49" t="s">
        <v>131</v>
      </c>
      <c r="E130" s="49"/>
      <c r="F130" s="38">
        <v>1</v>
      </c>
      <c r="G130" s="78"/>
      <c r="H130" s="78"/>
      <c r="I130" s="31"/>
      <c r="J130" s="31"/>
      <c r="K130" s="31"/>
      <c r="L130" s="31"/>
      <c r="M130" s="31"/>
      <c r="N130" s="31"/>
      <c r="O130" s="31"/>
    </row>
    <row r="131" spans="1:15" ht="19.5" customHeight="1" x14ac:dyDescent="0.2">
      <c r="A131" s="542" t="s">
        <v>113</v>
      </c>
      <c r="B131" s="543" t="s">
        <v>7</v>
      </c>
      <c r="C131" s="544" t="s">
        <v>59</v>
      </c>
      <c r="D131" s="47" t="s">
        <v>11</v>
      </c>
      <c r="E131" s="47"/>
      <c r="F131" s="33"/>
      <c r="G131" s="78"/>
      <c r="H131" s="78"/>
      <c r="I131" s="31"/>
      <c r="J131" s="31"/>
      <c r="K131" s="31"/>
      <c r="L131" s="31"/>
      <c r="M131" s="31"/>
      <c r="N131" s="31"/>
      <c r="O131" s="31"/>
    </row>
    <row r="132" spans="1:15" ht="51.75" customHeight="1" x14ac:dyDescent="0.2">
      <c r="A132" s="530"/>
      <c r="B132" s="531"/>
      <c r="C132" s="545"/>
      <c r="D132" s="49" t="s">
        <v>76</v>
      </c>
      <c r="E132" s="49"/>
      <c r="F132" s="1">
        <v>34</v>
      </c>
      <c r="G132" s="78"/>
      <c r="H132" s="78"/>
      <c r="I132" s="31"/>
      <c r="J132" s="31"/>
      <c r="K132" s="31"/>
      <c r="L132" s="31"/>
      <c r="M132" s="31"/>
      <c r="N132" s="31"/>
      <c r="O132" s="31"/>
    </row>
    <row r="133" spans="1:15" x14ac:dyDescent="0.2">
      <c r="A133" s="530"/>
      <c r="B133" s="531"/>
      <c r="C133" s="545"/>
      <c r="D133" s="49" t="s">
        <v>52</v>
      </c>
      <c r="E133" s="49"/>
      <c r="F133" s="1">
        <v>18</v>
      </c>
      <c r="G133" s="78"/>
      <c r="H133" s="78"/>
      <c r="I133" s="31"/>
      <c r="J133" s="31"/>
      <c r="K133" s="31"/>
      <c r="L133" s="31"/>
      <c r="M133" s="31"/>
      <c r="N133" s="31"/>
      <c r="O133" s="31"/>
    </row>
    <row r="134" spans="1:15" x14ac:dyDescent="0.2">
      <c r="A134" s="530"/>
      <c r="B134" s="531"/>
      <c r="C134" s="545"/>
      <c r="D134" s="49" t="s">
        <v>53</v>
      </c>
      <c r="E134" s="49"/>
      <c r="F134" s="1">
        <v>16</v>
      </c>
      <c r="G134" s="78"/>
      <c r="H134" s="78"/>
      <c r="I134" s="31"/>
      <c r="J134" s="31"/>
      <c r="K134" s="31"/>
      <c r="L134" s="31"/>
      <c r="M134" s="31"/>
      <c r="N134" s="31"/>
      <c r="O134" s="31"/>
    </row>
    <row r="135" spans="1:15" ht="26.25" customHeight="1" x14ac:dyDescent="0.2">
      <c r="A135" s="530"/>
      <c r="B135" s="531"/>
      <c r="C135" s="545"/>
      <c r="D135" s="49" t="s">
        <v>10</v>
      </c>
      <c r="E135" s="49"/>
      <c r="F135" s="18">
        <v>38.548529411764711</v>
      </c>
      <c r="G135" s="78"/>
      <c r="H135" s="78"/>
      <c r="I135" s="31"/>
      <c r="J135" s="31"/>
      <c r="K135" s="31"/>
      <c r="L135" s="31"/>
      <c r="M135" s="31"/>
      <c r="N135" s="31"/>
      <c r="O135" s="31"/>
    </row>
    <row r="136" spans="1:15" ht="27" customHeight="1" thickBot="1" x14ac:dyDescent="0.25">
      <c r="A136" s="530"/>
      <c r="B136" s="531"/>
      <c r="C136" s="545"/>
      <c r="D136" s="49" t="s">
        <v>131</v>
      </c>
      <c r="E136" s="49"/>
      <c r="F136" s="38">
        <v>1</v>
      </c>
      <c r="G136" s="78"/>
      <c r="H136" s="78"/>
      <c r="I136" s="31"/>
      <c r="J136" s="31"/>
      <c r="K136" s="31"/>
      <c r="L136" s="31"/>
      <c r="M136" s="31"/>
      <c r="N136" s="31"/>
      <c r="O136" s="31"/>
    </row>
    <row r="137" spans="1:15" x14ac:dyDescent="0.2">
      <c r="A137" s="542" t="s">
        <v>77</v>
      </c>
      <c r="B137" s="543" t="s">
        <v>7</v>
      </c>
      <c r="C137" s="543" t="s">
        <v>59</v>
      </c>
      <c r="D137" s="37" t="s">
        <v>11</v>
      </c>
      <c r="E137" s="47"/>
      <c r="F137" s="33"/>
      <c r="G137" s="78"/>
      <c r="H137" s="78"/>
      <c r="I137" s="31"/>
      <c r="J137" s="31"/>
      <c r="K137" s="31"/>
      <c r="L137" s="31"/>
      <c r="M137" s="31"/>
      <c r="N137" s="31"/>
      <c r="O137" s="31"/>
    </row>
    <row r="138" spans="1:15" ht="38.25" x14ac:dyDescent="0.2">
      <c r="A138" s="530"/>
      <c r="B138" s="531"/>
      <c r="C138" s="531"/>
      <c r="D138" s="21" t="s">
        <v>114</v>
      </c>
      <c r="E138" s="49"/>
      <c r="F138" s="1">
        <v>10</v>
      </c>
      <c r="G138" s="78"/>
      <c r="H138" s="78"/>
      <c r="I138" s="31"/>
      <c r="J138" s="31"/>
      <c r="K138" s="31"/>
      <c r="L138" s="31"/>
      <c r="M138" s="31"/>
      <c r="N138" s="31"/>
      <c r="O138" s="31"/>
    </row>
    <row r="139" spans="1:15" ht="25.5" x14ac:dyDescent="0.2">
      <c r="A139" s="530"/>
      <c r="B139" s="531"/>
      <c r="C139" s="531"/>
      <c r="D139" s="21" t="s">
        <v>21</v>
      </c>
      <c r="E139" s="49"/>
      <c r="F139" s="18">
        <v>245.23499999999999</v>
      </c>
      <c r="G139" s="78"/>
      <c r="H139" s="78"/>
      <c r="I139" s="31"/>
      <c r="J139" s="31"/>
      <c r="K139" s="31"/>
      <c r="L139" s="31"/>
      <c r="M139" s="31"/>
      <c r="N139" s="31"/>
      <c r="O139" s="31"/>
    </row>
    <row r="140" spans="1:15" ht="26.25" thickBot="1" x14ac:dyDescent="0.25">
      <c r="A140" s="530"/>
      <c r="B140" s="531"/>
      <c r="C140" s="531"/>
      <c r="D140" s="21" t="s">
        <v>131</v>
      </c>
      <c r="E140" s="49"/>
      <c r="F140" s="38">
        <v>1</v>
      </c>
      <c r="G140" s="78"/>
      <c r="H140" s="78"/>
      <c r="I140" s="31"/>
      <c r="J140" s="31"/>
      <c r="K140" s="31"/>
      <c r="L140" s="31"/>
      <c r="M140" s="31"/>
      <c r="N140" s="31"/>
      <c r="O140" s="31"/>
    </row>
    <row r="141" spans="1:15" ht="19.5" customHeight="1" x14ac:dyDescent="0.2">
      <c r="A141" s="542" t="s">
        <v>78</v>
      </c>
      <c r="B141" s="543" t="s">
        <v>7</v>
      </c>
      <c r="C141" s="544" t="s">
        <v>59</v>
      </c>
      <c r="D141" s="47" t="s">
        <v>11</v>
      </c>
      <c r="E141" s="47"/>
      <c r="F141" s="33"/>
      <c r="G141" s="78"/>
      <c r="H141" s="78"/>
      <c r="I141" s="31"/>
      <c r="J141" s="31"/>
      <c r="K141" s="31"/>
      <c r="L141" s="31"/>
      <c r="M141" s="31"/>
      <c r="N141" s="31"/>
      <c r="O141" s="31"/>
    </row>
    <row r="142" spans="1:15" ht="39" customHeight="1" x14ac:dyDescent="0.2">
      <c r="A142" s="530"/>
      <c r="B142" s="531"/>
      <c r="C142" s="545"/>
      <c r="D142" s="49" t="s">
        <v>79</v>
      </c>
      <c r="E142" s="49"/>
      <c r="F142" s="1">
        <v>63</v>
      </c>
      <c r="G142" s="78"/>
      <c r="H142" s="78"/>
      <c r="I142" s="31"/>
      <c r="J142" s="31"/>
      <c r="K142" s="31"/>
      <c r="L142" s="31"/>
      <c r="M142" s="31"/>
      <c r="N142" s="31"/>
      <c r="O142" s="31"/>
    </row>
    <row r="143" spans="1:15" x14ac:dyDescent="0.2">
      <c r="A143" s="530"/>
      <c r="B143" s="531"/>
      <c r="C143" s="545"/>
      <c r="D143" s="49" t="s">
        <v>15</v>
      </c>
      <c r="E143" s="49"/>
      <c r="F143" s="1">
        <v>18</v>
      </c>
      <c r="G143" s="78"/>
      <c r="H143" s="78"/>
      <c r="I143" s="31"/>
      <c r="J143" s="31"/>
      <c r="K143" s="31"/>
      <c r="L143" s="31"/>
      <c r="M143" s="31"/>
      <c r="N143" s="31"/>
      <c r="O143" s="31"/>
    </row>
    <row r="144" spans="1:15" x14ac:dyDescent="0.2">
      <c r="A144" s="530"/>
      <c r="B144" s="531"/>
      <c r="C144" s="545"/>
      <c r="D144" s="49" t="s">
        <v>16</v>
      </c>
      <c r="E144" s="49"/>
      <c r="F144" s="1">
        <v>45</v>
      </c>
      <c r="G144" s="78"/>
      <c r="H144" s="78"/>
      <c r="I144" s="31"/>
      <c r="J144" s="31"/>
      <c r="K144" s="31"/>
      <c r="L144" s="31"/>
      <c r="M144" s="31"/>
      <c r="N144" s="31"/>
      <c r="O144" s="31"/>
    </row>
    <row r="145" spans="1:15" ht="26.25" customHeight="1" x14ac:dyDescent="0.2">
      <c r="A145" s="530"/>
      <c r="B145" s="531"/>
      <c r="C145" s="545"/>
      <c r="D145" s="49" t="s">
        <v>10</v>
      </c>
      <c r="E145" s="49"/>
      <c r="F145" s="18">
        <v>308.28587301587299</v>
      </c>
      <c r="G145" s="78"/>
      <c r="H145" s="78"/>
      <c r="I145" s="31"/>
      <c r="J145" s="31"/>
      <c r="K145" s="31"/>
      <c r="L145" s="31"/>
      <c r="M145" s="31"/>
      <c r="N145" s="31"/>
      <c r="O145" s="31"/>
    </row>
    <row r="146" spans="1:15" ht="27" customHeight="1" thickBot="1" x14ac:dyDescent="0.25">
      <c r="A146" s="530"/>
      <c r="B146" s="531"/>
      <c r="C146" s="545"/>
      <c r="D146" s="49" t="s">
        <v>131</v>
      </c>
      <c r="E146" s="49"/>
      <c r="F146" s="38">
        <v>1</v>
      </c>
      <c r="G146" s="78"/>
      <c r="H146" s="78"/>
      <c r="I146" s="31"/>
      <c r="J146" s="31"/>
      <c r="K146" s="31"/>
      <c r="L146" s="31"/>
      <c r="M146" s="31"/>
      <c r="N146" s="31"/>
      <c r="O146" s="31"/>
    </row>
    <row r="147" spans="1:15" ht="19.5" customHeight="1" x14ac:dyDescent="0.2">
      <c r="A147" s="542" t="s">
        <v>80</v>
      </c>
      <c r="B147" s="543" t="s">
        <v>7</v>
      </c>
      <c r="C147" s="544" t="s">
        <v>59</v>
      </c>
      <c r="D147" s="47" t="s">
        <v>11</v>
      </c>
      <c r="E147" s="47"/>
      <c r="F147" s="33"/>
      <c r="G147" s="78"/>
      <c r="H147" s="78"/>
      <c r="I147" s="31"/>
      <c r="J147" s="31"/>
      <c r="K147" s="31"/>
      <c r="L147" s="31"/>
      <c r="M147" s="31"/>
      <c r="N147" s="31"/>
      <c r="O147" s="31"/>
    </row>
    <row r="148" spans="1:15" ht="25.5" customHeight="1" x14ac:dyDescent="0.2">
      <c r="A148" s="530"/>
      <c r="B148" s="531"/>
      <c r="C148" s="545"/>
      <c r="D148" s="49" t="s">
        <v>81</v>
      </c>
      <c r="E148" s="49"/>
      <c r="F148" s="1">
        <v>2</v>
      </c>
      <c r="G148" s="78"/>
      <c r="H148" s="78"/>
      <c r="I148" s="31"/>
      <c r="J148" s="31"/>
      <c r="K148" s="31"/>
      <c r="L148" s="31"/>
      <c r="M148" s="31"/>
      <c r="N148" s="31"/>
      <c r="O148" s="31"/>
    </row>
    <row r="149" spans="1:15" x14ac:dyDescent="0.2">
      <c r="A149" s="530"/>
      <c r="B149" s="531"/>
      <c r="C149" s="545"/>
      <c r="D149" s="49" t="s">
        <v>15</v>
      </c>
      <c r="E149" s="49"/>
      <c r="F149" s="1">
        <v>1</v>
      </c>
      <c r="G149" s="78"/>
      <c r="H149" s="78"/>
      <c r="I149" s="31"/>
      <c r="J149" s="31"/>
      <c r="K149" s="31"/>
      <c r="L149" s="31"/>
      <c r="M149" s="31"/>
      <c r="N149" s="31"/>
      <c r="O149" s="31"/>
    </row>
    <row r="150" spans="1:15" x14ac:dyDescent="0.2">
      <c r="A150" s="530"/>
      <c r="B150" s="531"/>
      <c r="C150" s="545"/>
      <c r="D150" s="49" t="s">
        <v>16</v>
      </c>
      <c r="E150" s="49"/>
      <c r="F150" s="1">
        <v>1</v>
      </c>
      <c r="G150" s="78"/>
      <c r="H150" s="78"/>
      <c r="I150" s="31"/>
      <c r="J150" s="31"/>
      <c r="K150" s="31"/>
      <c r="L150" s="31"/>
      <c r="M150" s="31"/>
      <c r="N150" s="31"/>
      <c r="O150" s="31"/>
    </row>
    <row r="151" spans="1:15" ht="26.25" customHeight="1" x14ac:dyDescent="0.2">
      <c r="A151" s="530"/>
      <c r="B151" s="531"/>
      <c r="C151" s="545"/>
      <c r="D151" s="49" t="s">
        <v>21</v>
      </c>
      <c r="E151" s="49"/>
      <c r="F151" s="18">
        <v>837.97500000000002</v>
      </c>
      <c r="G151" s="78"/>
      <c r="H151" s="78"/>
      <c r="I151" s="31"/>
      <c r="J151" s="31"/>
      <c r="K151" s="31"/>
      <c r="L151" s="31"/>
      <c r="M151" s="31"/>
      <c r="N151" s="31"/>
      <c r="O151" s="31"/>
    </row>
    <row r="152" spans="1:15" ht="27" customHeight="1" thickBot="1" x14ac:dyDescent="0.25">
      <c r="A152" s="530"/>
      <c r="B152" s="531"/>
      <c r="C152" s="545"/>
      <c r="D152" s="49" t="s">
        <v>131</v>
      </c>
      <c r="E152" s="49"/>
      <c r="F152" s="38">
        <v>1</v>
      </c>
      <c r="G152" s="78"/>
      <c r="H152" s="78"/>
      <c r="I152" s="31"/>
      <c r="J152" s="31"/>
      <c r="K152" s="31"/>
      <c r="L152" s="31"/>
      <c r="M152" s="31"/>
      <c r="N152" s="31"/>
      <c r="O152" s="31"/>
    </row>
    <row r="153" spans="1:15" x14ac:dyDescent="0.2">
      <c r="A153" s="542" t="s">
        <v>82</v>
      </c>
      <c r="B153" s="543" t="s">
        <v>7</v>
      </c>
      <c r="C153" s="543" t="s">
        <v>59</v>
      </c>
      <c r="D153" s="37" t="s">
        <v>11</v>
      </c>
      <c r="E153" s="47"/>
      <c r="F153" s="33"/>
      <c r="G153" s="78"/>
      <c r="H153" s="78"/>
      <c r="I153" s="31"/>
      <c r="J153" s="31"/>
      <c r="K153" s="31"/>
      <c r="L153" s="31"/>
      <c r="M153" s="31"/>
      <c r="N153" s="31"/>
      <c r="O153" s="31"/>
    </row>
    <row r="154" spans="1:15" ht="25.5" customHeight="1" x14ac:dyDescent="0.2">
      <c r="A154" s="530"/>
      <c r="B154" s="531"/>
      <c r="C154" s="531"/>
      <c r="D154" s="21" t="s">
        <v>83</v>
      </c>
      <c r="E154" s="49"/>
      <c r="F154" s="1">
        <v>1</v>
      </c>
      <c r="G154" s="78"/>
      <c r="H154" s="78"/>
      <c r="I154" s="31"/>
      <c r="J154" s="31"/>
      <c r="K154" s="31"/>
      <c r="L154" s="31"/>
      <c r="M154" s="31"/>
      <c r="N154" s="31"/>
      <c r="O154" s="31"/>
    </row>
    <row r="155" spans="1:15" ht="25.5" x14ac:dyDescent="0.2">
      <c r="A155" s="530"/>
      <c r="B155" s="531"/>
      <c r="C155" s="531"/>
      <c r="D155" s="21" t="s">
        <v>21</v>
      </c>
      <c r="E155" s="49"/>
      <c r="F155" s="18">
        <v>567.98</v>
      </c>
      <c r="G155" s="78"/>
      <c r="H155" s="78"/>
      <c r="I155" s="31"/>
      <c r="J155" s="31"/>
      <c r="K155" s="31"/>
      <c r="L155" s="31"/>
      <c r="M155" s="31"/>
      <c r="N155" s="31"/>
      <c r="O155" s="31"/>
    </row>
    <row r="156" spans="1:15" ht="26.25" thickBot="1" x14ac:dyDescent="0.25">
      <c r="A156" s="530"/>
      <c r="B156" s="531"/>
      <c r="C156" s="531"/>
      <c r="D156" s="21" t="s">
        <v>131</v>
      </c>
      <c r="E156" s="49"/>
      <c r="F156" s="38">
        <v>1</v>
      </c>
      <c r="G156" s="78"/>
      <c r="H156" s="78"/>
      <c r="I156" s="31"/>
      <c r="J156" s="31"/>
      <c r="K156" s="31"/>
      <c r="L156" s="31"/>
      <c r="M156" s="31"/>
      <c r="N156" s="31"/>
      <c r="O156" s="31"/>
    </row>
    <row r="157" spans="1:15" x14ac:dyDescent="0.2">
      <c r="A157" s="542" t="s">
        <v>111</v>
      </c>
      <c r="B157" s="543" t="s">
        <v>7</v>
      </c>
      <c r="C157" s="543" t="s">
        <v>59</v>
      </c>
      <c r="D157" s="37" t="s">
        <v>11</v>
      </c>
      <c r="E157" s="47"/>
      <c r="F157" s="33"/>
      <c r="G157" s="78"/>
      <c r="H157" s="78"/>
      <c r="I157" s="31"/>
      <c r="J157" s="31"/>
      <c r="K157" s="31"/>
      <c r="L157" s="31"/>
      <c r="M157" s="31"/>
      <c r="N157" s="31"/>
      <c r="O157" s="31"/>
    </row>
    <row r="158" spans="1:15" ht="38.25" x14ac:dyDescent="0.2">
      <c r="A158" s="530"/>
      <c r="B158" s="531"/>
      <c r="C158" s="531"/>
      <c r="D158" s="21" t="s">
        <v>84</v>
      </c>
      <c r="E158" s="49"/>
      <c r="F158" s="1">
        <v>1</v>
      </c>
      <c r="G158" s="78"/>
      <c r="H158" s="78"/>
      <c r="I158" s="31"/>
      <c r="J158" s="31"/>
      <c r="K158" s="31"/>
      <c r="L158" s="31"/>
      <c r="M158" s="31"/>
      <c r="N158" s="31"/>
      <c r="O158" s="31"/>
    </row>
    <row r="159" spans="1:15" ht="25.5" x14ac:dyDescent="0.2">
      <c r="A159" s="530"/>
      <c r="B159" s="531"/>
      <c r="C159" s="531"/>
      <c r="D159" s="21" t="s">
        <v>21</v>
      </c>
      <c r="E159" s="49"/>
      <c r="F159" s="18">
        <v>325.61</v>
      </c>
      <c r="G159" s="78"/>
      <c r="H159" s="78"/>
      <c r="I159" s="31"/>
      <c r="J159" s="31"/>
      <c r="K159" s="31"/>
      <c r="L159" s="31"/>
      <c r="M159" s="31"/>
      <c r="N159" s="31"/>
      <c r="O159" s="31"/>
    </row>
    <row r="160" spans="1:15" ht="26.25" thickBot="1" x14ac:dyDescent="0.25">
      <c r="A160" s="530"/>
      <c r="B160" s="531"/>
      <c r="C160" s="531"/>
      <c r="D160" s="21" t="s">
        <v>131</v>
      </c>
      <c r="E160" s="49"/>
      <c r="F160" s="38">
        <v>1</v>
      </c>
      <c r="G160" s="78"/>
      <c r="H160" s="78"/>
      <c r="I160" s="31"/>
      <c r="J160" s="31"/>
      <c r="K160" s="31"/>
      <c r="L160" s="31"/>
      <c r="M160" s="31"/>
      <c r="N160" s="31"/>
      <c r="O160" s="31"/>
    </row>
    <row r="161" spans="1:15" ht="19.5" customHeight="1" x14ac:dyDescent="0.2">
      <c r="A161" s="542" t="s">
        <v>85</v>
      </c>
      <c r="B161" s="543" t="s">
        <v>7</v>
      </c>
      <c r="C161" s="544" t="s">
        <v>59</v>
      </c>
      <c r="D161" s="47" t="s">
        <v>11</v>
      </c>
      <c r="E161" s="47"/>
      <c r="F161" s="33"/>
      <c r="G161" s="78"/>
      <c r="H161" s="78"/>
      <c r="I161" s="31"/>
      <c r="J161" s="31"/>
      <c r="K161" s="31"/>
      <c r="L161" s="31"/>
      <c r="M161" s="31"/>
      <c r="N161" s="31"/>
      <c r="O161" s="31"/>
    </row>
    <row r="162" spans="1:15" ht="39" customHeight="1" x14ac:dyDescent="0.2">
      <c r="A162" s="530"/>
      <c r="B162" s="531"/>
      <c r="C162" s="545"/>
      <c r="D162" s="49" t="s">
        <v>154</v>
      </c>
      <c r="E162" s="49"/>
      <c r="F162" s="1">
        <v>69</v>
      </c>
      <c r="G162" s="78"/>
      <c r="H162" s="78"/>
      <c r="I162" s="31"/>
      <c r="J162" s="31"/>
      <c r="K162" s="31"/>
      <c r="L162" s="31"/>
      <c r="M162" s="31"/>
      <c r="N162" s="31"/>
      <c r="O162" s="31"/>
    </row>
    <row r="163" spans="1:15" x14ac:dyDescent="0.2">
      <c r="A163" s="530"/>
      <c r="B163" s="531"/>
      <c r="C163" s="545"/>
      <c r="D163" s="49" t="s">
        <v>15</v>
      </c>
      <c r="E163" s="49"/>
      <c r="F163" s="1">
        <v>34</v>
      </c>
      <c r="G163" s="78"/>
      <c r="H163" s="78"/>
      <c r="I163" s="31"/>
      <c r="J163" s="31"/>
      <c r="K163" s="31"/>
      <c r="L163" s="31"/>
      <c r="M163" s="31"/>
      <c r="N163" s="31"/>
      <c r="O163" s="31"/>
    </row>
    <row r="164" spans="1:15" x14ac:dyDescent="0.2">
      <c r="A164" s="530"/>
      <c r="B164" s="531"/>
      <c r="C164" s="545"/>
      <c r="D164" s="49" t="s">
        <v>16</v>
      </c>
      <c r="E164" s="49"/>
      <c r="F164" s="1">
        <v>35</v>
      </c>
      <c r="G164" s="78"/>
      <c r="H164" s="78"/>
      <c r="I164" s="31"/>
      <c r="J164" s="31"/>
      <c r="K164" s="31"/>
      <c r="L164" s="31"/>
      <c r="M164" s="31"/>
      <c r="N164" s="31"/>
      <c r="O164" s="31"/>
    </row>
    <row r="165" spans="1:15" ht="26.25" customHeight="1" x14ac:dyDescent="0.2">
      <c r="A165" s="530"/>
      <c r="B165" s="531"/>
      <c r="C165" s="545"/>
      <c r="D165" s="49" t="s">
        <v>21</v>
      </c>
      <c r="E165" s="49"/>
      <c r="F165" s="18">
        <v>956.12652173913034</v>
      </c>
      <c r="G165" s="78"/>
      <c r="H165" s="78"/>
      <c r="I165" s="31"/>
      <c r="J165" s="31"/>
      <c r="K165" s="31"/>
      <c r="L165" s="31"/>
      <c r="M165" s="31"/>
      <c r="N165" s="31"/>
      <c r="O165" s="31"/>
    </row>
    <row r="166" spans="1:15" ht="27" customHeight="1" thickBot="1" x14ac:dyDescent="0.25">
      <c r="A166" s="530"/>
      <c r="B166" s="531"/>
      <c r="C166" s="545"/>
      <c r="D166" s="49" t="s">
        <v>131</v>
      </c>
      <c r="E166" s="49"/>
      <c r="F166" s="38">
        <v>1</v>
      </c>
      <c r="G166" s="78"/>
      <c r="H166" s="78"/>
      <c r="I166" s="31"/>
      <c r="J166" s="31"/>
      <c r="K166" s="31"/>
      <c r="L166" s="31"/>
      <c r="M166" s="31"/>
      <c r="N166" s="31"/>
      <c r="O166" s="31"/>
    </row>
    <row r="167" spans="1:15" ht="19.5" customHeight="1" x14ac:dyDescent="0.2">
      <c r="A167" s="542" t="s">
        <v>115</v>
      </c>
      <c r="B167" s="543" t="s">
        <v>7</v>
      </c>
      <c r="C167" s="544" t="s">
        <v>59</v>
      </c>
      <c r="D167" s="47" t="s">
        <v>11</v>
      </c>
      <c r="E167" s="47"/>
      <c r="F167" s="33"/>
      <c r="G167" s="78"/>
      <c r="H167" s="78"/>
      <c r="I167" s="31"/>
      <c r="J167" s="31"/>
      <c r="K167" s="31"/>
      <c r="L167" s="31"/>
      <c r="M167" s="31"/>
      <c r="N167" s="31"/>
      <c r="O167" s="31"/>
    </row>
    <row r="168" spans="1:15" ht="38.25" x14ac:dyDescent="0.2">
      <c r="A168" s="530"/>
      <c r="B168" s="531"/>
      <c r="C168" s="545"/>
      <c r="D168" s="49" t="s">
        <v>155</v>
      </c>
      <c r="E168" s="49"/>
      <c r="F168" s="1">
        <v>626</v>
      </c>
      <c r="G168" s="78"/>
      <c r="H168" s="78"/>
      <c r="I168" s="31"/>
      <c r="J168" s="31"/>
      <c r="K168" s="31"/>
      <c r="L168" s="31"/>
      <c r="M168" s="31"/>
      <c r="N168" s="31"/>
      <c r="O168" s="31"/>
    </row>
    <row r="169" spans="1:15" x14ac:dyDescent="0.2">
      <c r="A169" s="530"/>
      <c r="B169" s="531"/>
      <c r="C169" s="545"/>
      <c r="D169" s="49" t="s">
        <v>15</v>
      </c>
      <c r="E169" s="49"/>
      <c r="F169" s="1">
        <v>310</v>
      </c>
      <c r="G169" s="78"/>
      <c r="H169" s="78"/>
      <c r="I169" s="31"/>
      <c r="J169" s="31"/>
      <c r="K169" s="31"/>
      <c r="L169" s="31"/>
      <c r="M169" s="31"/>
      <c r="N169" s="31"/>
      <c r="O169" s="31"/>
    </row>
    <row r="170" spans="1:15" x14ac:dyDescent="0.2">
      <c r="A170" s="530"/>
      <c r="B170" s="531"/>
      <c r="C170" s="545"/>
      <c r="D170" s="49" t="s">
        <v>16</v>
      </c>
      <c r="E170" s="49"/>
      <c r="F170" s="1">
        <v>316</v>
      </c>
      <c r="G170" s="78"/>
      <c r="H170" s="78"/>
      <c r="I170" s="31"/>
      <c r="J170" s="31"/>
      <c r="K170" s="31"/>
      <c r="L170" s="31"/>
      <c r="M170" s="31"/>
      <c r="N170" s="31"/>
      <c r="O170" s="31"/>
    </row>
    <row r="171" spans="1:15" ht="25.5" x14ac:dyDescent="0.2">
      <c r="A171" s="530"/>
      <c r="B171" s="531"/>
      <c r="C171" s="545"/>
      <c r="D171" s="49" t="s">
        <v>21</v>
      </c>
      <c r="E171" s="49"/>
      <c r="F171" s="18">
        <v>309.74621405750798</v>
      </c>
      <c r="G171" s="78"/>
      <c r="H171" s="78"/>
      <c r="I171" s="31"/>
      <c r="J171" s="31"/>
      <c r="K171" s="31"/>
      <c r="L171" s="31"/>
      <c r="M171" s="31"/>
      <c r="N171" s="31"/>
      <c r="O171" s="31"/>
    </row>
    <row r="172" spans="1:15" ht="26.25" thickBot="1" x14ac:dyDescent="0.25">
      <c r="A172" s="530"/>
      <c r="B172" s="531"/>
      <c r="C172" s="545"/>
      <c r="D172" s="49" t="s">
        <v>131</v>
      </c>
      <c r="E172" s="49"/>
      <c r="F172" s="38">
        <v>1</v>
      </c>
      <c r="G172" s="78"/>
      <c r="H172" s="78"/>
      <c r="I172" s="31"/>
      <c r="J172" s="31"/>
      <c r="K172" s="31"/>
      <c r="L172" s="31"/>
      <c r="M172" s="31"/>
      <c r="N172" s="31"/>
      <c r="O172" s="31"/>
    </row>
    <row r="173" spans="1:15" x14ac:dyDescent="0.2">
      <c r="A173" s="542" t="s">
        <v>45</v>
      </c>
      <c r="B173" s="543" t="s">
        <v>7</v>
      </c>
      <c r="C173" s="543" t="s">
        <v>59</v>
      </c>
      <c r="D173" s="37" t="s">
        <v>11</v>
      </c>
      <c r="E173" s="47"/>
      <c r="F173" s="33"/>
      <c r="G173" s="78"/>
      <c r="H173" s="78"/>
      <c r="I173" s="31"/>
      <c r="J173" s="31"/>
      <c r="K173" s="31"/>
      <c r="L173" s="31"/>
      <c r="M173" s="31"/>
      <c r="N173" s="31"/>
      <c r="O173" s="31"/>
    </row>
    <row r="174" spans="1:15" ht="38.25" x14ac:dyDescent="0.2">
      <c r="A174" s="530"/>
      <c r="B174" s="531"/>
      <c r="C174" s="531"/>
      <c r="D174" s="21" t="s">
        <v>28</v>
      </c>
      <c r="E174" s="49"/>
      <c r="F174" s="1">
        <v>100</v>
      </c>
      <c r="G174" s="78"/>
      <c r="H174" s="78"/>
      <c r="I174" s="31"/>
      <c r="J174" s="31"/>
      <c r="K174" s="31"/>
      <c r="L174" s="31"/>
      <c r="M174" s="31"/>
      <c r="N174" s="31"/>
      <c r="O174" s="31"/>
    </row>
    <row r="175" spans="1:15" ht="25.5" x14ac:dyDescent="0.2">
      <c r="A175" s="530"/>
      <c r="B175" s="531"/>
      <c r="C175" s="531"/>
      <c r="D175" s="21" t="s">
        <v>10</v>
      </c>
      <c r="E175" s="49"/>
      <c r="F175" s="18">
        <v>153.93870000000001</v>
      </c>
      <c r="G175" s="78"/>
      <c r="H175" s="78"/>
      <c r="I175" s="31"/>
      <c r="J175" s="31"/>
      <c r="K175" s="31"/>
      <c r="L175" s="31"/>
      <c r="M175" s="31"/>
      <c r="N175" s="31"/>
      <c r="O175" s="31"/>
    </row>
    <row r="176" spans="1:15" ht="26.25" thickBot="1" x14ac:dyDescent="0.25">
      <c r="A176" s="530"/>
      <c r="B176" s="531"/>
      <c r="C176" s="531"/>
      <c r="D176" s="21" t="s">
        <v>131</v>
      </c>
      <c r="E176" s="49"/>
      <c r="F176" s="38">
        <v>1</v>
      </c>
      <c r="G176" s="78"/>
      <c r="H176" s="78"/>
      <c r="I176" s="31"/>
      <c r="J176" s="31"/>
      <c r="K176" s="31"/>
      <c r="L176" s="31"/>
      <c r="M176" s="31"/>
      <c r="N176" s="31"/>
      <c r="O176" s="31"/>
    </row>
    <row r="177" spans="1:15" ht="19.5" customHeight="1" x14ac:dyDescent="0.2">
      <c r="A177" s="542" t="s">
        <v>46</v>
      </c>
      <c r="B177" s="543" t="s">
        <v>7</v>
      </c>
      <c r="C177" s="543" t="s">
        <v>59</v>
      </c>
      <c r="D177" s="37" t="s">
        <v>11</v>
      </c>
      <c r="E177" s="47"/>
      <c r="F177" s="33"/>
      <c r="G177" s="78"/>
      <c r="H177" s="78"/>
      <c r="I177" s="31"/>
      <c r="J177" s="31"/>
      <c r="K177" s="31"/>
      <c r="L177" s="31"/>
      <c r="M177" s="31"/>
      <c r="N177" s="31"/>
      <c r="O177" s="31"/>
    </row>
    <row r="178" spans="1:15" ht="38.25" x14ac:dyDescent="0.2">
      <c r="A178" s="530"/>
      <c r="B178" s="531"/>
      <c r="C178" s="531"/>
      <c r="D178" s="21" t="s">
        <v>156</v>
      </c>
      <c r="E178" s="49"/>
      <c r="F178" s="1">
        <v>338</v>
      </c>
      <c r="G178" s="78"/>
      <c r="H178" s="78"/>
      <c r="I178" s="31"/>
      <c r="J178" s="31"/>
      <c r="K178" s="31"/>
      <c r="L178" s="31"/>
      <c r="M178" s="31"/>
      <c r="N178" s="31"/>
      <c r="O178" s="31"/>
    </row>
    <row r="179" spans="1:15" ht="25.5" x14ac:dyDescent="0.2">
      <c r="A179" s="530"/>
      <c r="B179" s="531"/>
      <c r="C179" s="531"/>
      <c r="D179" s="21" t="s">
        <v>21</v>
      </c>
      <c r="E179" s="49"/>
      <c r="F179" s="18">
        <v>2913.5634911242601</v>
      </c>
      <c r="G179" s="78"/>
      <c r="H179" s="78"/>
      <c r="I179" s="31"/>
      <c r="J179" s="31"/>
      <c r="K179" s="31"/>
      <c r="L179" s="31"/>
      <c r="M179" s="31"/>
      <c r="N179" s="31"/>
      <c r="O179" s="31"/>
    </row>
    <row r="180" spans="1:15" ht="26.25" thickBot="1" x14ac:dyDescent="0.25">
      <c r="A180" s="530"/>
      <c r="B180" s="531"/>
      <c r="C180" s="531"/>
      <c r="D180" s="21" t="s">
        <v>131</v>
      </c>
      <c r="E180" s="49"/>
      <c r="F180" s="38">
        <v>1</v>
      </c>
      <c r="G180" s="78"/>
      <c r="H180" s="78"/>
      <c r="I180" s="31"/>
      <c r="J180" s="31"/>
      <c r="K180" s="31"/>
      <c r="L180" s="31"/>
      <c r="M180" s="31"/>
      <c r="N180" s="31"/>
      <c r="O180" s="31"/>
    </row>
    <row r="181" spans="1:15" x14ac:dyDescent="0.2">
      <c r="A181" s="542" t="s">
        <v>86</v>
      </c>
      <c r="B181" s="543" t="s">
        <v>7</v>
      </c>
      <c r="C181" s="543" t="s">
        <v>59</v>
      </c>
      <c r="D181" s="37" t="s">
        <v>11</v>
      </c>
      <c r="E181" s="47"/>
      <c r="F181" s="33"/>
      <c r="G181" s="78"/>
      <c r="H181" s="78"/>
      <c r="I181" s="31"/>
      <c r="J181" s="31"/>
      <c r="K181" s="31"/>
      <c r="L181" s="31"/>
      <c r="M181" s="31"/>
      <c r="N181" s="31"/>
      <c r="O181" s="31"/>
    </row>
    <row r="182" spans="1:15" ht="38.25" x14ac:dyDescent="0.2">
      <c r="A182" s="530"/>
      <c r="B182" s="531"/>
      <c r="C182" s="531"/>
      <c r="D182" s="21" t="s">
        <v>87</v>
      </c>
      <c r="E182" s="49"/>
      <c r="F182" s="1">
        <v>65</v>
      </c>
      <c r="G182" s="78"/>
      <c r="H182" s="78"/>
      <c r="I182" s="31"/>
      <c r="J182" s="31"/>
      <c r="K182" s="31"/>
      <c r="L182" s="31"/>
      <c r="M182" s="31"/>
      <c r="N182" s="31"/>
      <c r="O182" s="31"/>
    </row>
    <row r="183" spans="1:15" ht="25.5" x14ac:dyDescent="0.2">
      <c r="A183" s="530"/>
      <c r="B183" s="531"/>
      <c r="C183" s="531"/>
      <c r="D183" s="21" t="s">
        <v>21</v>
      </c>
      <c r="E183" s="49"/>
      <c r="F183" s="18">
        <v>352.28630769230767</v>
      </c>
      <c r="G183" s="78"/>
      <c r="H183" s="78"/>
      <c r="I183" s="31"/>
      <c r="J183" s="31"/>
      <c r="K183" s="31"/>
      <c r="L183" s="31"/>
      <c r="M183" s="31"/>
      <c r="N183" s="31"/>
      <c r="O183" s="31"/>
    </row>
    <row r="184" spans="1:15" ht="26.25" thickBot="1" x14ac:dyDescent="0.25">
      <c r="A184" s="530"/>
      <c r="B184" s="531"/>
      <c r="C184" s="531"/>
      <c r="D184" s="21" t="s">
        <v>131</v>
      </c>
      <c r="E184" s="49"/>
      <c r="F184" s="38">
        <v>1</v>
      </c>
      <c r="G184" s="78"/>
      <c r="H184" s="78"/>
      <c r="I184" s="31"/>
      <c r="J184" s="31"/>
      <c r="K184" s="31"/>
      <c r="L184" s="31"/>
      <c r="M184" s="31"/>
      <c r="N184" s="31"/>
      <c r="O184" s="31"/>
    </row>
    <row r="185" spans="1:15" x14ac:dyDescent="0.2">
      <c r="A185" s="542" t="s">
        <v>88</v>
      </c>
      <c r="B185" s="543" t="s">
        <v>7</v>
      </c>
      <c r="C185" s="543" t="s">
        <v>59</v>
      </c>
      <c r="D185" s="37" t="s">
        <v>11</v>
      </c>
      <c r="E185" s="47"/>
      <c r="F185" s="33"/>
      <c r="G185" s="78"/>
      <c r="H185" s="78"/>
      <c r="I185" s="31"/>
      <c r="J185" s="31"/>
      <c r="K185" s="31"/>
      <c r="L185" s="31"/>
      <c r="M185" s="31"/>
      <c r="N185" s="31"/>
      <c r="O185" s="31"/>
    </row>
    <row r="186" spans="1:15" ht="51" x14ac:dyDescent="0.2">
      <c r="A186" s="530"/>
      <c r="B186" s="531"/>
      <c r="C186" s="531"/>
      <c r="D186" s="21" t="s">
        <v>116</v>
      </c>
      <c r="E186" s="49"/>
      <c r="F186" s="1">
        <v>150</v>
      </c>
      <c r="G186" s="78"/>
      <c r="H186" s="78"/>
      <c r="I186" s="31"/>
      <c r="J186" s="31"/>
      <c r="K186" s="31"/>
      <c r="L186" s="31"/>
      <c r="M186" s="31"/>
      <c r="N186" s="31"/>
      <c r="O186" s="31"/>
    </row>
    <row r="187" spans="1:15" ht="25.5" x14ac:dyDescent="0.2">
      <c r="A187" s="530"/>
      <c r="B187" s="531"/>
      <c r="C187" s="531"/>
      <c r="D187" s="21" t="s">
        <v>21</v>
      </c>
      <c r="E187" s="49"/>
      <c r="F187" s="18">
        <v>24.776333333333334</v>
      </c>
      <c r="G187" s="78"/>
      <c r="H187" s="78"/>
      <c r="I187" s="31"/>
      <c r="J187" s="31"/>
      <c r="K187" s="31"/>
      <c r="L187" s="31"/>
      <c r="M187" s="31"/>
      <c r="N187" s="31"/>
      <c r="O187" s="31"/>
    </row>
    <row r="188" spans="1:15" ht="26.25" thickBot="1" x14ac:dyDescent="0.25">
      <c r="A188" s="530"/>
      <c r="B188" s="531"/>
      <c r="C188" s="531"/>
      <c r="D188" s="21" t="s">
        <v>131</v>
      </c>
      <c r="E188" s="49"/>
      <c r="F188" s="38">
        <v>1</v>
      </c>
      <c r="G188" s="78"/>
      <c r="H188" s="78"/>
      <c r="I188" s="31"/>
      <c r="J188" s="31"/>
      <c r="K188" s="31"/>
      <c r="L188" s="31"/>
      <c r="M188" s="31"/>
      <c r="N188" s="31"/>
      <c r="O188" s="31"/>
    </row>
    <row r="189" spans="1:15" ht="19.5" customHeight="1" x14ac:dyDescent="0.2">
      <c r="A189" s="542" t="s">
        <v>89</v>
      </c>
      <c r="B189" s="543" t="s">
        <v>7</v>
      </c>
      <c r="C189" s="544" t="s">
        <v>59</v>
      </c>
      <c r="D189" s="47" t="s">
        <v>11</v>
      </c>
      <c r="E189" s="47"/>
      <c r="F189" s="33"/>
      <c r="G189" s="78"/>
      <c r="H189" s="78"/>
      <c r="I189" s="31"/>
      <c r="J189" s="31"/>
      <c r="K189" s="31"/>
      <c r="L189" s="31"/>
      <c r="M189" s="31"/>
      <c r="N189" s="31"/>
      <c r="O189" s="31"/>
    </row>
    <row r="190" spans="1:15" ht="39" customHeight="1" x14ac:dyDescent="0.2">
      <c r="A190" s="530"/>
      <c r="B190" s="531"/>
      <c r="C190" s="545"/>
      <c r="D190" s="49" t="s">
        <v>90</v>
      </c>
      <c r="E190" s="49"/>
      <c r="F190" s="1">
        <v>1331</v>
      </c>
      <c r="G190" s="78"/>
      <c r="H190" s="78"/>
      <c r="I190" s="31"/>
      <c r="J190" s="31"/>
      <c r="K190" s="31"/>
      <c r="L190" s="31"/>
      <c r="M190" s="31"/>
      <c r="N190" s="31"/>
      <c r="O190" s="31"/>
    </row>
    <row r="191" spans="1:15" x14ac:dyDescent="0.2">
      <c r="A191" s="530"/>
      <c r="B191" s="531"/>
      <c r="C191" s="545"/>
      <c r="D191" s="49" t="s">
        <v>15</v>
      </c>
      <c r="E191" s="49"/>
      <c r="F191" s="1">
        <v>851</v>
      </c>
      <c r="G191" s="78"/>
      <c r="H191" s="78"/>
      <c r="I191" s="31"/>
      <c r="J191" s="31"/>
      <c r="K191" s="31"/>
      <c r="L191" s="31"/>
      <c r="M191" s="31"/>
      <c r="N191" s="31"/>
      <c r="O191" s="31"/>
    </row>
    <row r="192" spans="1:15" x14ac:dyDescent="0.2">
      <c r="A192" s="530"/>
      <c r="B192" s="531"/>
      <c r="C192" s="545"/>
      <c r="D192" s="49" t="s">
        <v>16</v>
      </c>
      <c r="E192" s="49"/>
      <c r="F192" s="1">
        <v>480</v>
      </c>
      <c r="G192" s="78"/>
      <c r="H192" s="78"/>
      <c r="I192" s="31"/>
      <c r="J192" s="31"/>
      <c r="K192" s="31"/>
      <c r="L192" s="31"/>
      <c r="M192" s="31"/>
      <c r="N192" s="31"/>
      <c r="O192" s="31"/>
    </row>
    <row r="193" spans="1:15" ht="26.25" customHeight="1" x14ac:dyDescent="0.2">
      <c r="A193" s="530"/>
      <c r="B193" s="531"/>
      <c r="C193" s="545"/>
      <c r="D193" s="49" t="s">
        <v>21</v>
      </c>
      <c r="E193" s="49"/>
      <c r="F193" s="19">
        <v>5.2264387678437272</v>
      </c>
      <c r="G193" s="78"/>
      <c r="H193" s="78"/>
      <c r="I193" s="31"/>
      <c r="J193" s="31"/>
      <c r="K193" s="31"/>
      <c r="L193" s="31"/>
      <c r="M193" s="31"/>
      <c r="N193" s="31"/>
      <c r="O193" s="31"/>
    </row>
    <row r="194" spans="1:15" ht="27" customHeight="1" thickBot="1" x14ac:dyDescent="0.25">
      <c r="A194" s="530"/>
      <c r="B194" s="531"/>
      <c r="C194" s="545"/>
      <c r="D194" s="49" t="s">
        <v>131</v>
      </c>
      <c r="E194" s="49"/>
      <c r="F194" s="38">
        <v>1</v>
      </c>
      <c r="G194" s="78"/>
      <c r="H194" s="78"/>
      <c r="I194" s="31"/>
      <c r="J194" s="31"/>
      <c r="K194" s="31"/>
      <c r="L194" s="31"/>
      <c r="M194" s="31"/>
      <c r="N194" s="31"/>
      <c r="O194" s="31"/>
    </row>
    <row r="195" spans="1:15" x14ac:dyDescent="0.2">
      <c r="A195" s="542" t="s">
        <v>47</v>
      </c>
      <c r="B195" s="543" t="s">
        <v>7</v>
      </c>
      <c r="C195" s="543" t="s">
        <v>59</v>
      </c>
      <c r="D195" s="43" t="s">
        <v>11</v>
      </c>
      <c r="E195" s="48"/>
      <c r="F195" s="26"/>
      <c r="G195" s="78"/>
      <c r="H195" s="78"/>
      <c r="I195" s="31"/>
      <c r="J195" s="31"/>
      <c r="K195" s="31"/>
      <c r="L195" s="31"/>
      <c r="M195" s="31"/>
      <c r="N195" s="31"/>
      <c r="O195" s="31"/>
    </row>
    <row r="196" spans="1:15" ht="51" x14ac:dyDescent="0.2">
      <c r="A196" s="530"/>
      <c r="B196" s="531"/>
      <c r="C196" s="531"/>
      <c r="D196" s="21" t="s">
        <v>91</v>
      </c>
      <c r="E196" s="49"/>
      <c r="F196" s="1">
        <v>528</v>
      </c>
      <c r="G196" s="78"/>
      <c r="H196" s="78"/>
      <c r="I196" s="31"/>
      <c r="J196" s="31"/>
      <c r="K196" s="31"/>
      <c r="L196" s="31"/>
      <c r="M196" s="31"/>
      <c r="N196" s="31"/>
      <c r="O196" s="31"/>
    </row>
    <row r="197" spans="1:15" ht="25.5" x14ac:dyDescent="0.2">
      <c r="A197" s="530"/>
      <c r="B197" s="531"/>
      <c r="C197" s="531"/>
      <c r="D197" s="21" t="s">
        <v>10</v>
      </c>
      <c r="E197" s="49"/>
      <c r="F197" s="18">
        <v>578.33469696969689</v>
      </c>
      <c r="G197" s="78"/>
      <c r="H197" s="78"/>
      <c r="I197" s="31"/>
      <c r="J197" s="31"/>
      <c r="K197" s="31"/>
      <c r="L197" s="31"/>
      <c r="M197" s="31"/>
      <c r="N197" s="31"/>
      <c r="O197" s="31"/>
    </row>
    <row r="198" spans="1:15" ht="26.25" thickBot="1" x14ac:dyDescent="0.25">
      <c r="A198" s="530"/>
      <c r="B198" s="531"/>
      <c r="C198" s="531"/>
      <c r="D198" s="21" t="s">
        <v>131</v>
      </c>
      <c r="E198" s="49"/>
      <c r="F198" s="38">
        <v>1</v>
      </c>
      <c r="G198" s="78"/>
      <c r="H198" s="78"/>
      <c r="I198" s="31"/>
      <c r="J198" s="31"/>
      <c r="K198" s="31"/>
      <c r="L198" s="31"/>
      <c r="M198" s="31"/>
      <c r="N198" s="31"/>
      <c r="O198" s="31"/>
    </row>
    <row r="199" spans="1:15" x14ac:dyDescent="0.2">
      <c r="A199" s="542" t="s">
        <v>118</v>
      </c>
      <c r="B199" s="543" t="s">
        <v>7</v>
      </c>
      <c r="C199" s="543" t="s">
        <v>59</v>
      </c>
      <c r="D199" s="37" t="s">
        <v>11</v>
      </c>
      <c r="E199" s="47"/>
      <c r="F199" s="33"/>
      <c r="G199" s="78"/>
      <c r="H199" s="78"/>
      <c r="I199" s="31"/>
      <c r="J199" s="31"/>
      <c r="K199" s="31"/>
      <c r="L199" s="31"/>
      <c r="M199" s="31"/>
      <c r="N199" s="31"/>
      <c r="O199" s="31"/>
    </row>
    <row r="200" spans="1:15" ht="51" x14ac:dyDescent="0.2">
      <c r="A200" s="530"/>
      <c r="B200" s="531"/>
      <c r="C200" s="531"/>
      <c r="D200" s="21" t="s">
        <v>117</v>
      </c>
      <c r="E200" s="49"/>
      <c r="F200" s="1">
        <v>1573</v>
      </c>
      <c r="G200" s="78"/>
      <c r="H200" s="78"/>
      <c r="I200" s="31"/>
      <c r="J200" s="31"/>
      <c r="K200" s="31"/>
      <c r="L200" s="31"/>
      <c r="M200" s="31"/>
      <c r="N200" s="31"/>
      <c r="O200" s="31"/>
    </row>
    <row r="201" spans="1:15" ht="25.5" x14ac:dyDescent="0.2">
      <c r="A201" s="530"/>
      <c r="B201" s="531"/>
      <c r="C201" s="531"/>
      <c r="D201" s="21" t="s">
        <v>21</v>
      </c>
      <c r="E201" s="49"/>
      <c r="F201" s="18">
        <v>849.26038143674509</v>
      </c>
      <c r="G201" s="78"/>
      <c r="H201" s="78"/>
      <c r="I201" s="31"/>
      <c r="J201" s="31"/>
      <c r="K201" s="31"/>
      <c r="L201" s="31"/>
      <c r="M201" s="31"/>
      <c r="N201" s="31"/>
      <c r="O201" s="31"/>
    </row>
    <row r="202" spans="1:15" ht="26.25" thickBot="1" x14ac:dyDescent="0.25">
      <c r="A202" s="530"/>
      <c r="B202" s="531"/>
      <c r="C202" s="531"/>
      <c r="D202" s="21" t="s">
        <v>131</v>
      </c>
      <c r="E202" s="49"/>
      <c r="F202" s="38">
        <v>1</v>
      </c>
      <c r="G202" s="78"/>
      <c r="H202" s="78"/>
      <c r="I202" s="31"/>
      <c r="J202" s="31"/>
      <c r="K202" s="31"/>
      <c r="L202" s="31"/>
      <c r="M202" s="31"/>
      <c r="N202" s="31"/>
      <c r="O202" s="31"/>
    </row>
    <row r="203" spans="1:15" ht="19.5" customHeight="1" x14ac:dyDescent="0.2">
      <c r="A203" s="542" t="s">
        <v>119</v>
      </c>
      <c r="B203" s="543" t="s">
        <v>7</v>
      </c>
      <c r="C203" s="544" t="s">
        <v>59</v>
      </c>
      <c r="D203" s="47" t="s">
        <v>11</v>
      </c>
      <c r="E203" s="47"/>
      <c r="F203" s="33"/>
      <c r="G203" s="78"/>
      <c r="H203" s="78"/>
      <c r="I203" s="31"/>
      <c r="J203" s="31"/>
      <c r="K203" s="31"/>
      <c r="L203" s="31"/>
      <c r="M203" s="31"/>
      <c r="N203" s="31"/>
      <c r="O203" s="31"/>
    </row>
    <row r="204" spans="1:15" ht="19.5" customHeight="1" x14ac:dyDescent="0.2">
      <c r="A204" s="530"/>
      <c r="B204" s="531"/>
      <c r="C204" s="545"/>
      <c r="D204" s="49" t="s">
        <v>14</v>
      </c>
      <c r="E204" s="49"/>
      <c r="F204" s="18"/>
      <c r="G204" s="78"/>
      <c r="H204" s="78"/>
      <c r="I204" s="31"/>
      <c r="J204" s="31"/>
      <c r="K204" s="31"/>
      <c r="L204" s="31"/>
      <c r="M204" s="31"/>
      <c r="N204" s="31"/>
      <c r="O204" s="31"/>
    </row>
    <row r="205" spans="1:15" ht="26.25" customHeight="1" x14ac:dyDescent="0.2">
      <c r="A205" s="530"/>
      <c r="B205" s="531"/>
      <c r="C205" s="545"/>
      <c r="D205" s="49" t="s">
        <v>25</v>
      </c>
      <c r="E205" s="49"/>
      <c r="F205" s="1">
        <v>29300</v>
      </c>
      <c r="G205" s="78"/>
      <c r="H205" s="78"/>
      <c r="I205" s="31"/>
      <c r="J205" s="31"/>
      <c r="K205" s="31"/>
      <c r="L205" s="31"/>
      <c r="M205" s="31"/>
      <c r="N205" s="31"/>
      <c r="O205" s="31"/>
    </row>
    <row r="206" spans="1:15" x14ac:dyDescent="0.2">
      <c r="A206" s="530"/>
      <c r="B206" s="531"/>
      <c r="C206" s="545"/>
      <c r="D206" s="49" t="s">
        <v>23</v>
      </c>
      <c r="E206" s="49"/>
      <c r="F206" s="1">
        <v>20284.615384615383</v>
      </c>
      <c r="G206" s="78"/>
      <c r="H206" s="78"/>
      <c r="I206" s="31"/>
      <c r="J206" s="31"/>
      <c r="K206" s="31"/>
      <c r="L206" s="31"/>
      <c r="M206" s="31"/>
      <c r="N206" s="31"/>
      <c r="O206" s="31"/>
    </row>
    <row r="207" spans="1:15" x14ac:dyDescent="0.2">
      <c r="A207" s="530"/>
      <c r="B207" s="531"/>
      <c r="C207" s="545"/>
      <c r="D207" s="49" t="s">
        <v>24</v>
      </c>
      <c r="E207" s="49"/>
      <c r="F207" s="1">
        <v>9015.3846153846171</v>
      </c>
      <c r="G207" s="78"/>
      <c r="H207" s="78"/>
      <c r="I207" s="31"/>
      <c r="J207" s="31"/>
      <c r="K207" s="31"/>
      <c r="L207" s="31"/>
      <c r="M207" s="31"/>
      <c r="N207" s="31"/>
      <c r="O207" s="31"/>
    </row>
    <row r="208" spans="1:15" ht="39" customHeight="1" x14ac:dyDescent="0.2">
      <c r="A208" s="530"/>
      <c r="B208" s="531"/>
      <c r="C208" s="545"/>
      <c r="D208" s="49" t="s">
        <v>26</v>
      </c>
      <c r="E208" s="49"/>
      <c r="F208" s="1">
        <v>650</v>
      </c>
      <c r="G208" s="78"/>
      <c r="H208" s="78"/>
      <c r="I208" s="31"/>
      <c r="J208" s="31"/>
      <c r="K208" s="31"/>
      <c r="L208" s="31"/>
      <c r="M208" s="31"/>
      <c r="N208" s="31"/>
      <c r="O208" s="31"/>
    </row>
    <row r="209" spans="1:15" x14ac:dyDescent="0.2">
      <c r="A209" s="530"/>
      <c r="B209" s="531"/>
      <c r="C209" s="545"/>
      <c r="D209" s="49" t="s">
        <v>23</v>
      </c>
      <c r="E209" s="49"/>
      <c r="F209" s="1">
        <v>450</v>
      </c>
      <c r="G209" s="78"/>
      <c r="H209" s="78"/>
      <c r="I209" s="31"/>
      <c r="J209" s="31"/>
      <c r="K209" s="31"/>
      <c r="L209" s="31"/>
      <c r="M209" s="31"/>
      <c r="N209" s="31"/>
      <c r="O209" s="31"/>
    </row>
    <row r="210" spans="1:15" x14ac:dyDescent="0.2">
      <c r="A210" s="530"/>
      <c r="B210" s="531"/>
      <c r="C210" s="545"/>
      <c r="D210" s="49" t="s">
        <v>24</v>
      </c>
      <c r="E210" s="49"/>
      <c r="F210" s="1">
        <v>200</v>
      </c>
      <c r="G210" s="78"/>
      <c r="H210" s="78"/>
      <c r="I210" s="31"/>
      <c r="J210" s="31"/>
      <c r="K210" s="31"/>
      <c r="L210" s="31"/>
      <c r="M210" s="31"/>
      <c r="N210" s="31"/>
      <c r="O210" s="31"/>
    </row>
    <row r="211" spans="1:15" ht="51" x14ac:dyDescent="0.25">
      <c r="A211" s="530"/>
      <c r="B211" s="531"/>
      <c r="C211" s="545"/>
      <c r="D211" s="50" t="s">
        <v>133</v>
      </c>
      <c r="E211" s="50"/>
      <c r="F211" s="18">
        <v>0.90919899833055084</v>
      </c>
      <c r="G211" s="78"/>
      <c r="H211" s="78"/>
      <c r="I211" s="31"/>
      <c r="J211" s="31"/>
      <c r="K211" s="31"/>
      <c r="L211" s="31"/>
      <c r="M211" s="31"/>
      <c r="N211" s="31"/>
      <c r="O211" s="31"/>
    </row>
    <row r="212" spans="1:15" ht="27" customHeight="1" thickBot="1" x14ac:dyDescent="0.25">
      <c r="A212" s="530"/>
      <c r="B212" s="531"/>
      <c r="C212" s="545"/>
      <c r="D212" s="49" t="s">
        <v>167</v>
      </c>
      <c r="E212" s="49"/>
      <c r="F212" s="38">
        <v>1</v>
      </c>
      <c r="G212" s="78"/>
      <c r="H212" s="78"/>
      <c r="I212" s="31"/>
      <c r="J212" s="31"/>
      <c r="K212" s="31"/>
      <c r="L212" s="31"/>
      <c r="M212" s="31"/>
      <c r="N212" s="31"/>
      <c r="O212" s="31"/>
    </row>
    <row r="213" spans="1:15" x14ac:dyDescent="0.2">
      <c r="A213" s="542" t="s">
        <v>92</v>
      </c>
      <c r="B213" s="543" t="s">
        <v>7</v>
      </c>
      <c r="C213" s="543" t="s">
        <v>59</v>
      </c>
      <c r="D213" s="37" t="s">
        <v>11</v>
      </c>
      <c r="E213" s="47"/>
      <c r="F213" s="33"/>
      <c r="G213" s="78"/>
      <c r="H213" s="78"/>
      <c r="I213" s="31"/>
      <c r="J213" s="31"/>
      <c r="K213" s="31"/>
      <c r="L213" s="31"/>
      <c r="M213" s="31"/>
      <c r="N213" s="31"/>
      <c r="O213" s="31"/>
    </row>
    <row r="214" spans="1:15" ht="38.25" x14ac:dyDescent="0.2">
      <c r="A214" s="530"/>
      <c r="B214" s="531"/>
      <c r="C214" s="531"/>
      <c r="D214" s="21" t="s">
        <v>93</v>
      </c>
      <c r="E214" s="49"/>
      <c r="F214" s="1">
        <v>1220</v>
      </c>
      <c r="G214" s="78"/>
      <c r="H214" s="78"/>
      <c r="I214" s="31"/>
      <c r="J214" s="31"/>
      <c r="K214" s="31"/>
      <c r="L214" s="31"/>
      <c r="M214" s="31"/>
      <c r="N214" s="31"/>
      <c r="O214" s="31"/>
    </row>
    <row r="215" spans="1:15" ht="25.5" x14ac:dyDescent="0.2">
      <c r="A215" s="530"/>
      <c r="B215" s="531"/>
      <c r="C215" s="531"/>
      <c r="D215" s="21" t="s">
        <v>21</v>
      </c>
      <c r="E215" s="49"/>
      <c r="F215" s="18">
        <v>7.9490409836065572</v>
      </c>
      <c r="G215" s="78"/>
      <c r="H215" s="78"/>
      <c r="I215" s="31"/>
      <c r="J215" s="31"/>
      <c r="K215" s="31"/>
      <c r="L215" s="31"/>
      <c r="M215" s="31"/>
      <c r="N215" s="31"/>
      <c r="O215" s="31"/>
    </row>
    <row r="216" spans="1:15" ht="26.25" thickBot="1" x14ac:dyDescent="0.25">
      <c r="A216" s="530"/>
      <c r="B216" s="531"/>
      <c r="C216" s="531"/>
      <c r="D216" s="21" t="s">
        <v>131</v>
      </c>
      <c r="E216" s="49"/>
      <c r="F216" s="38">
        <v>1</v>
      </c>
      <c r="G216" s="78"/>
      <c r="H216" s="78"/>
      <c r="I216" s="31"/>
      <c r="J216" s="31"/>
      <c r="K216" s="31"/>
      <c r="L216" s="31"/>
      <c r="M216" s="31"/>
      <c r="N216" s="31"/>
      <c r="O216" s="31"/>
    </row>
    <row r="217" spans="1:15" x14ac:dyDescent="0.2">
      <c r="A217" s="542" t="s">
        <v>94</v>
      </c>
      <c r="B217" s="543" t="s">
        <v>7</v>
      </c>
      <c r="C217" s="543" t="s">
        <v>59</v>
      </c>
      <c r="D217" s="37" t="s">
        <v>11</v>
      </c>
      <c r="E217" s="47"/>
      <c r="F217" s="33"/>
      <c r="G217" s="78"/>
      <c r="H217" s="78"/>
      <c r="I217" s="31"/>
      <c r="J217" s="31"/>
      <c r="K217" s="31"/>
      <c r="L217" s="31"/>
      <c r="M217" s="31"/>
      <c r="N217" s="31"/>
      <c r="O217" s="31"/>
    </row>
    <row r="218" spans="1:15" ht="63.75" x14ac:dyDescent="0.25">
      <c r="A218" s="530"/>
      <c r="B218" s="531"/>
      <c r="C218" s="531"/>
      <c r="D218" s="42" t="s">
        <v>134</v>
      </c>
      <c r="E218" s="50"/>
      <c r="F218" s="1">
        <v>1001</v>
      </c>
      <c r="G218" s="78"/>
      <c r="H218" s="78"/>
      <c r="I218" s="31"/>
      <c r="J218" s="31"/>
      <c r="K218" s="31"/>
      <c r="L218" s="31"/>
      <c r="M218" s="31"/>
      <c r="N218" s="31"/>
      <c r="O218" s="31"/>
    </row>
    <row r="219" spans="1:15" ht="25.5" x14ac:dyDescent="0.2">
      <c r="A219" s="530"/>
      <c r="B219" s="531"/>
      <c r="C219" s="531"/>
      <c r="D219" s="21" t="s">
        <v>21</v>
      </c>
      <c r="E219" s="49"/>
      <c r="F219" s="18">
        <v>352.90075924075921</v>
      </c>
      <c r="G219" s="78"/>
      <c r="H219" s="78"/>
      <c r="I219" s="31"/>
      <c r="J219" s="31"/>
      <c r="K219" s="31"/>
      <c r="L219" s="31"/>
      <c r="M219" s="31"/>
      <c r="N219" s="31"/>
      <c r="O219" s="31"/>
    </row>
    <row r="220" spans="1:15" ht="26.25" thickBot="1" x14ac:dyDescent="0.25">
      <c r="A220" s="530"/>
      <c r="B220" s="531"/>
      <c r="C220" s="531"/>
      <c r="D220" s="21" t="s">
        <v>131</v>
      </c>
      <c r="E220" s="49"/>
      <c r="F220" s="38">
        <v>1</v>
      </c>
      <c r="G220" s="78"/>
      <c r="H220" s="78"/>
      <c r="I220" s="31"/>
      <c r="J220" s="31"/>
      <c r="K220" s="31"/>
      <c r="L220" s="31"/>
      <c r="M220" s="31"/>
      <c r="N220" s="31"/>
      <c r="O220" s="31"/>
    </row>
    <row r="221" spans="1:15" x14ac:dyDescent="0.2">
      <c r="A221" s="542" t="s">
        <v>95</v>
      </c>
      <c r="B221" s="543" t="s">
        <v>7</v>
      </c>
      <c r="C221" s="543" t="s">
        <v>59</v>
      </c>
      <c r="D221" s="37" t="s">
        <v>11</v>
      </c>
      <c r="E221" s="47"/>
      <c r="F221" s="33"/>
      <c r="G221" s="78"/>
      <c r="H221" s="78"/>
      <c r="I221" s="31"/>
      <c r="J221" s="31"/>
      <c r="K221" s="31"/>
      <c r="L221" s="31"/>
      <c r="M221" s="31"/>
      <c r="N221" s="31"/>
      <c r="O221" s="31"/>
    </row>
    <row r="222" spans="1:15" ht="63.75" x14ac:dyDescent="0.2">
      <c r="A222" s="530"/>
      <c r="B222" s="531"/>
      <c r="C222" s="531"/>
      <c r="D222" s="21" t="s">
        <v>96</v>
      </c>
      <c r="E222" s="49"/>
      <c r="F222" s="1">
        <v>600</v>
      </c>
      <c r="G222" s="78"/>
      <c r="H222" s="78"/>
      <c r="I222" s="31"/>
      <c r="J222" s="31"/>
      <c r="K222" s="31"/>
      <c r="L222" s="31"/>
      <c r="M222" s="31"/>
      <c r="N222" s="31"/>
      <c r="O222" s="31"/>
    </row>
    <row r="223" spans="1:15" ht="25.5" x14ac:dyDescent="0.2">
      <c r="A223" s="530"/>
      <c r="B223" s="531"/>
      <c r="C223" s="531"/>
      <c r="D223" s="21" t="s">
        <v>21</v>
      </c>
      <c r="E223" s="49"/>
      <c r="F223" s="18">
        <v>152.24714999999998</v>
      </c>
      <c r="G223" s="78"/>
      <c r="H223" s="78"/>
      <c r="I223" s="31"/>
      <c r="J223" s="31"/>
      <c r="K223" s="31"/>
      <c r="L223" s="31"/>
      <c r="M223" s="31"/>
      <c r="N223" s="31"/>
      <c r="O223" s="31"/>
    </row>
    <row r="224" spans="1:15" ht="26.25" thickBot="1" x14ac:dyDescent="0.25">
      <c r="A224" s="530"/>
      <c r="B224" s="531"/>
      <c r="C224" s="531"/>
      <c r="D224" s="21" t="s">
        <v>131</v>
      </c>
      <c r="E224" s="49"/>
      <c r="F224" s="38">
        <v>1</v>
      </c>
      <c r="G224" s="78"/>
      <c r="H224" s="78"/>
      <c r="I224" s="31"/>
      <c r="J224" s="31"/>
      <c r="K224" s="31"/>
      <c r="L224" s="31"/>
      <c r="M224" s="31"/>
      <c r="N224" s="31"/>
      <c r="O224" s="31"/>
    </row>
    <row r="225" spans="1:15" x14ac:dyDescent="0.2">
      <c r="A225" s="542" t="s">
        <v>97</v>
      </c>
      <c r="B225" s="543" t="s">
        <v>7</v>
      </c>
      <c r="C225" s="543" t="s">
        <v>59</v>
      </c>
      <c r="D225" s="37" t="s">
        <v>11</v>
      </c>
      <c r="E225" s="47"/>
      <c r="F225" s="33"/>
      <c r="G225" s="78"/>
      <c r="H225" s="78"/>
      <c r="I225" s="31"/>
      <c r="J225" s="31"/>
      <c r="K225" s="31"/>
      <c r="L225" s="31"/>
      <c r="M225" s="31"/>
      <c r="N225" s="31"/>
      <c r="O225" s="31"/>
    </row>
    <row r="226" spans="1:15" ht="51" x14ac:dyDescent="0.25">
      <c r="A226" s="530"/>
      <c r="B226" s="531"/>
      <c r="C226" s="531"/>
      <c r="D226" s="42" t="s">
        <v>139</v>
      </c>
      <c r="E226" s="50"/>
      <c r="F226" s="1">
        <v>1294</v>
      </c>
      <c r="G226" s="78"/>
      <c r="H226" s="78"/>
      <c r="I226" s="31"/>
      <c r="J226" s="31"/>
      <c r="K226" s="31"/>
      <c r="L226" s="31"/>
      <c r="M226" s="31"/>
      <c r="N226" s="31"/>
      <c r="O226" s="31"/>
    </row>
    <row r="227" spans="1:15" ht="25.5" x14ac:dyDescent="0.2">
      <c r="A227" s="530"/>
      <c r="B227" s="531"/>
      <c r="C227" s="531"/>
      <c r="D227" s="21" t="s">
        <v>21</v>
      </c>
      <c r="E227" s="49"/>
      <c r="F227" s="18">
        <v>20.564466769706335</v>
      </c>
      <c r="G227" s="78"/>
      <c r="H227" s="78"/>
      <c r="I227" s="31"/>
      <c r="J227" s="31"/>
      <c r="K227" s="31"/>
      <c r="L227" s="31"/>
      <c r="M227" s="31"/>
      <c r="N227" s="31"/>
      <c r="O227" s="31"/>
    </row>
    <row r="228" spans="1:15" ht="26.25" thickBot="1" x14ac:dyDescent="0.25">
      <c r="A228" s="530"/>
      <c r="B228" s="531"/>
      <c r="C228" s="531"/>
      <c r="D228" s="21" t="s">
        <v>131</v>
      </c>
      <c r="E228" s="49"/>
      <c r="F228" s="38">
        <v>1</v>
      </c>
      <c r="G228" s="78"/>
      <c r="H228" s="78"/>
      <c r="I228" s="31"/>
      <c r="J228" s="31"/>
      <c r="K228" s="31"/>
      <c r="L228" s="31"/>
      <c r="M228" s="31"/>
      <c r="N228" s="31"/>
      <c r="O228" s="31"/>
    </row>
    <row r="229" spans="1:15" x14ac:dyDescent="0.2">
      <c r="A229" s="542" t="s">
        <v>120</v>
      </c>
      <c r="B229" s="543" t="s">
        <v>7</v>
      </c>
      <c r="C229" s="543" t="s">
        <v>59</v>
      </c>
      <c r="D229" s="37" t="s">
        <v>11</v>
      </c>
      <c r="E229" s="47"/>
      <c r="F229" s="33"/>
      <c r="G229" s="78"/>
      <c r="H229" s="78"/>
      <c r="I229" s="31"/>
      <c r="J229" s="31"/>
      <c r="K229" s="31"/>
      <c r="L229" s="31"/>
      <c r="M229" s="31"/>
      <c r="N229" s="31"/>
      <c r="O229" s="31"/>
    </row>
    <row r="230" spans="1:15" ht="38.25" x14ac:dyDescent="0.2">
      <c r="A230" s="530"/>
      <c r="B230" s="531"/>
      <c r="C230" s="531"/>
      <c r="D230" s="21" t="s">
        <v>121</v>
      </c>
      <c r="E230" s="49"/>
      <c r="F230" s="1">
        <v>1671</v>
      </c>
      <c r="G230" s="78"/>
      <c r="H230" s="78"/>
      <c r="I230" s="31"/>
      <c r="J230" s="31"/>
      <c r="K230" s="31"/>
      <c r="L230" s="31"/>
      <c r="M230" s="31"/>
      <c r="N230" s="31"/>
      <c r="O230" s="31"/>
    </row>
    <row r="231" spans="1:15" ht="25.5" x14ac:dyDescent="0.2">
      <c r="A231" s="530"/>
      <c r="B231" s="531"/>
      <c r="C231" s="531"/>
      <c r="D231" s="21" t="s">
        <v>13</v>
      </c>
      <c r="E231" s="49"/>
      <c r="F231" s="18">
        <v>26.115703171753438</v>
      </c>
      <c r="G231" s="78"/>
      <c r="H231" s="78"/>
      <c r="I231" s="31"/>
      <c r="J231" s="31"/>
      <c r="K231" s="31"/>
      <c r="L231" s="31"/>
      <c r="M231" s="31"/>
      <c r="N231" s="31"/>
      <c r="O231" s="31"/>
    </row>
    <row r="232" spans="1:15" ht="26.25" thickBot="1" x14ac:dyDescent="0.25">
      <c r="A232" s="530"/>
      <c r="B232" s="531"/>
      <c r="C232" s="531"/>
      <c r="D232" s="21" t="s">
        <v>131</v>
      </c>
      <c r="E232" s="49"/>
      <c r="F232" s="38">
        <v>1</v>
      </c>
      <c r="G232" s="78"/>
      <c r="H232" s="78"/>
      <c r="I232" s="31"/>
      <c r="J232" s="31"/>
      <c r="K232" s="31"/>
      <c r="L232" s="31"/>
      <c r="M232" s="31"/>
      <c r="N232" s="31"/>
      <c r="O232" s="31"/>
    </row>
    <row r="233" spans="1:15" x14ac:dyDescent="0.2">
      <c r="A233" s="542" t="s">
        <v>98</v>
      </c>
      <c r="B233" s="543" t="s">
        <v>7</v>
      </c>
      <c r="C233" s="543" t="s">
        <v>59</v>
      </c>
      <c r="D233" s="37" t="s">
        <v>11</v>
      </c>
      <c r="E233" s="47"/>
      <c r="F233" s="33"/>
      <c r="G233" s="78"/>
      <c r="H233" s="78"/>
      <c r="I233" s="31"/>
      <c r="J233" s="31"/>
      <c r="K233" s="31"/>
      <c r="L233" s="31"/>
      <c r="M233" s="31"/>
      <c r="N233" s="31"/>
      <c r="O233" s="31"/>
    </row>
    <row r="234" spans="1:15" ht="51" x14ac:dyDescent="0.25">
      <c r="A234" s="530"/>
      <c r="B234" s="531"/>
      <c r="C234" s="531"/>
      <c r="D234" s="42" t="s">
        <v>135</v>
      </c>
      <c r="E234" s="50"/>
      <c r="F234" s="1">
        <v>500</v>
      </c>
      <c r="G234" s="78"/>
      <c r="H234" s="78"/>
      <c r="I234" s="31"/>
      <c r="J234" s="31"/>
      <c r="K234" s="31"/>
      <c r="L234" s="31"/>
      <c r="M234" s="31"/>
      <c r="N234" s="31"/>
      <c r="O234" s="31"/>
    </row>
    <row r="235" spans="1:15" ht="25.5" x14ac:dyDescent="0.2">
      <c r="A235" s="530"/>
      <c r="B235" s="531"/>
      <c r="C235" s="531"/>
      <c r="D235" s="21" t="s">
        <v>21</v>
      </c>
      <c r="E235" s="49"/>
      <c r="F235" s="18">
        <v>34.289839999999998</v>
      </c>
      <c r="G235" s="78"/>
      <c r="H235" s="78"/>
      <c r="I235" s="31"/>
      <c r="J235" s="31"/>
      <c r="K235" s="31"/>
      <c r="L235" s="31"/>
      <c r="M235" s="31"/>
      <c r="N235" s="31"/>
      <c r="O235" s="31"/>
    </row>
    <row r="236" spans="1:15" ht="26.25" thickBot="1" x14ac:dyDescent="0.25">
      <c r="A236" s="530"/>
      <c r="B236" s="531"/>
      <c r="C236" s="531"/>
      <c r="D236" s="21" t="s">
        <v>131</v>
      </c>
      <c r="E236" s="49"/>
      <c r="F236" s="38">
        <v>1</v>
      </c>
      <c r="G236" s="78"/>
      <c r="H236" s="78"/>
      <c r="I236" s="31"/>
      <c r="J236" s="31"/>
      <c r="K236" s="31"/>
      <c r="L236" s="31"/>
      <c r="M236" s="31"/>
      <c r="N236" s="31"/>
      <c r="O236" s="31"/>
    </row>
    <row r="237" spans="1:15" ht="19.5" customHeight="1" x14ac:dyDescent="0.2">
      <c r="A237" s="542" t="s">
        <v>43</v>
      </c>
      <c r="B237" s="543" t="s">
        <v>7</v>
      </c>
      <c r="C237" s="544" t="s">
        <v>59</v>
      </c>
      <c r="D237" s="47" t="s">
        <v>11</v>
      </c>
      <c r="E237" s="47"/>
      <c r="F237" s="33"/>
      <c r="G237" s="78"/>
      <c r="H237" s="78"/>
      <c r="I237" s="31"/>
      <c r="J237" s="31"/>
      <c r="K237" s="31"/>
      <c r="L237" s="31"/>
      <c r="M237" s="31"/>
      <c r="N237" s="31"/>
      <c r="O237" s="31"/>
    </row>
    <row r="238" spans="1:15" ht="39" customHeight="1" x14ac:dyDescent="0.2">
      <c r="A238" s="530"/>
      <c r="B238" s="531"/>
      <c r="C238" s="545"/>
      <c r="D238" s="49" t="s">
        <v>51</v>
      </c>
      <c r="E238" s="49"/>
      <c r="F238" s="1">
        <v>811</v>
      </c>
      <c r="G238" s="78"/>
      <c r="H238" s="78"/>
      <c r="I238" s="31"/>
      <c r="J238" s="31"/>
      <c r="K238" s="31"/>
      <c r="L238" s="31"/>
      <c r="M238" s="31"/>
      <c r="N238" s="31"/>
      <c r="O238" s="31"/>
    </row>
    <row r="239" spans="1:15" x14ac:dyDescent="0.2">
      <c r="A239" s="530"/>
      <c r="B239" s="531"/>
      <c r="C239" s="545"/>
      <c r="D239" s="49" t="s">
        <v>15</v>
      </c>
      <c r="E239" s="49"/>
      <c r="F239" s="1">
        <v>286</v>
      </c>
      <c r="G239" s="78"/>
      <c r="H239" s="78"/>
      <c r="I239" s="31"/>
      <c r="J239" s="31"/>
      <c r="K239" s="31"/>
      <c r="L239" s="31"/>
      <c r="M239" s="31"/>
      <c r="N239" s="31"/>
      <c r="O239" s="31"/>
    </row>
    <row r="240" spans="1:15" x14ac:dyDescent="0.2">
      <c r="A240" s="530"/>
      <c r="B240" s="531"/>
      <c r="C240" s="545"/>
      <c r="D240" s="49" t="s">
        <v>16</v>
      </c>
      <c r="E240" s="49"/>
      <c r="F240" s="1">
        <v>525</v>
      </c>
      <c r="G240" s="78"/>
      <c r="H240" s="78"/>
      <c r="I240" s="31"/>
      <c r="J240" s="31"/>
      <c r="K240" s="31"/>
      <c r="L240" s="31"/>
      <c r="M240" s="31"/>
      <c r="N240" s="31"/>
      <c r="O240" s="31"/>
    </row>
    <row r="241" spans="1:15" ht="26.25" customHeight="1" x14ac:dyDescent="0.2">
      <c r="A241" s="530"/>
      <c r="B241" s="531"/>
      <c r="C241" s="545"/>
      <c r="D241" s="49" t="s">
        <v>21</v>
      </c>
      <c r="E241" s="49"/>
      <c r="F241" s="18">
        <v>8.2291738594327981</v>
      </c>
      <c r="G241" s="78"/>
      <c r="H241" s="78"/>
      <c r="I241" s="31"/>
      <c r="J241" s="31"/>
      <c r="K241" s="31"/>
      <c r="L241" s="31"/>
      <c r="M241" s="31"/>
      <c r="N241" s="31"/>
      <c r="O241" s="31"/>
    </row>
    <row r="242" spans="1:15" ht="27" customHeight="1" thickBot="1" x14ac:dyDescent="0.25">
      <c r="A242" s="530"/>
      <c r="B242" s="531"/>
      <c r="C242" s="545"/>
      <c r="D242" s="49" t="s">
        <v>131</v>
      </c>
      <c r="E242" s="49"/>
      <c r="F242" s="38">
        <v>1</v>
      </c>
      <c r="G242" s="78"/>
      <c r="H242" s="78"/>
      <c r="I242" s="31"/>
      <c r="J242" s="31"/>
      <c r="K242" s="31"/>
      <c r="L242" s="31"/>
      <c r="M242" s="31"/>
      <c r="N242" s="31"/>
      <c r="O242" s="31"/>
    </row>
    <row r="243" spans="1:15" ht="19.5" customHeight="1" x14ac:dyDescent="0.2">
      <c r="A243" s="542" t="s">
        <v>54</v>
      </c>
      <c r="B243" s="543" t="s">
        <v>7</v>
      </c>
      <c r="C243" s="544" t="s">
        <v>59</v>
      </c>
      <c r="D243" s="47" t="s">
        <v>11</v>
      </c>
      <c r="E243" s="47"/>
      <c r="F243" s="33"/>
      <c r="G243" s="78"/>
      <c r="H243" s="78"/>
      <c r="I243" s="31"/>
      <c r="J243" s="31"/>
      <c r="K243" s="31"/>
      <c r="L243" s="31"/>
      <c r="M243" s="31"/>
      <c r="N243" s="31"/>
      <c r="O243" s="31"/>
    </row>
    <row r="244" spans="1:15" ht="39" customHeight="1" x14ac:dyDescent="0.2">
      <c r="A244" s="530"/>
      <c r="B244" s="531"/>
      <c r="C244" s="545"/>
      <c r="D244" s="49" t="s">
        <v>99</v>
      </c>
      <c r="E244" s="49"/>
      <c r="F244" s="1">
        <v>9</v>
      </c>
      <c r="G244" s="78"/>
      <c r="H244" s="78"/>
      <c r="I244" s="31"/>
      <c r="J244" s="31"/>
      <c r="K244" s="31"/>
      <c r="L244" s="31"/>
      <c r="M244" s="31"/>
      <c r="N244" s="31"/>
      <c r="O244" s="31"/>
    </row>
    <row r="245" spans="1:15" x14ac:dyDescent="0.2">
      <c r="A245" s="530"/>
      <c r="B245" s="531"/>
      <c r="C245" s="545"/>
      <c r="D245" s="49" t="s">
        <v>15</v>
      </c>
      <c r="E245" s="49"/>
      <c r="F245" s="1">
        <v>4</v>
      </c>
      <c r="G245" s="78"/>
      <c r="H245" s="78"/>
      <c r="I245" s="31"/>
      <c r="J245" s="31"/>
      <c r="K245" s="31"/>
      <c r="L245" s="31"/>
      <c r="M245" s="31"/>
      <c r="N245" s="31"/>
      <c r="O245" s="31"/>
    </row>
    <row r="246" spans="1:15" x14ac:dyDescent="0.2">
      <c r="A246" s="530"/>
      <c r="B246" s="531"/>
      <c r="C246" s="545"/>
      <c r="D246" s="49" t="s">
        <v>16</v>
      </c>
      <c r="E246" s="49"/>
      <c r="F246" s="1">
        <v>5</v>
      </c>
      <c r="G246" s="78"/>
      <c r="H246" s="78"/>
      <c r="I246" s="31"/>
      <c r="J246" s="31"/>
      <c r="K246" s="31"/>
      <c r="L246" s="31"/>
      <c r="M246" s="31"/>
      <c r="N246" s="31"/>
      <c r="O246" s="31"/>
    </row>
    <row r="247" spans="1:15" ht="26.25" customHeight="1" x14ac:dyDescent="0.2">
      <c r="A247" s="530"/>
      <c r="B247" s="531"/>
      <c r="C247" s="545"/>
      <c r="D247" s="49" t="s">
        <v>21</v>
      </c>
      <c r="E247" s="49"/>
      <c r="F247" s="18">
        <v>986.37444444444452</v>
      </c>
      <c r="G247" s="78"/>
      <c r="H247" s="78"/>
      <c r="I247" s="31"/>
      <c r="J247" s="31"/>
      <c r="K247" s="31"/>
      <c r="L247" s="31"/>
      <c r="M247" s="31"/>
      <c r="N247" s="31"/>
      <c r="O247" s="31"/>
    </row>
    <row r="248" spans="1:15" ht="27" customHeight="1" thickBot="1" x14ac:dyDescent="0.25">
      <c r="A248" s="530"/>
      <c r="B248" s="531"/>
      <c r="C248" s="545"/>
      <c r="D248" s="49" t="s">
        <v>131</v>
      </c>
      <c r="E248" s="49"/>
      <c r="F248" s="38">
        <v>1</v>
      </c>
      <c r="G248" s="78"/>
      <c r="H248" s="78"/>
      <c r="I248" s="31"/>
      <c r="J248" s="31"/>
      <c r="K248" s="31"/>
      <c r="L248" s="31"/>
      <c r="M248" s="31"/>
      <c r="N248" s="31"/>
      <c r="O248" s="31"/>
    </row>
    <row r="249" spans="1:15" ht="19.5" customHeight="1" x14ac:dyDescent="0.2">
      <c r="A249" s="542" t="s">
        <v>100</v>
      </c>
      <c r="B249" s="543" t="s">
        <v>7</v>
      </c>
      <c r="C249" s="544" t="s">
        <v>59</v>
      </c>
      <c r="D249" s="47" t="s">
        <v>11</v>
      </c>
      <c r="E249" s="47"/>
      <c r="F249" s="33"/>
      <c r="G249" s="78"/>
      <c r="H249" s="78"/>
      <c r="I249" s="31"/>
      <c r="J249" s="31"/>
      <c r="K249" s="31"/>
      <c r="L249" s="31"/>
      <c r="M249" s="31"/>
      <c r="N249" s="31"/>
      <c r="O249" s="31"/>
    </row>
    <row r="250" spans="1:15" ht="39" customHeight="1" x14ac:dyDescent="0.2">
      <c r="A250" s="530"/>
      <c r="B250" s="531"/>
      <c r="C250" s="545"/>
      <c r="D250" s="49" t="s">
        <v>101</v>
      </c>
      <c r="E250" s="49"/>
      <c r="F250" s="1">
        <v>27</v>
      </c>
      <c r="G250" s="78"/>
      <c r="H250" s="78"/>
      <c r="I250" s="31"/>
      <c r="J250" s="31"/>
      <c r="K250" s="31"/>
      <c r="L250" s="31"/>
      <c r="M250" s="31"/>
      <c r="N250" s="31"/>
      <c r="O250" s="31"/>
    </row>
    <row r="251" spans="1:15" x14ac:dyDescent="0.2">
      <c r="A251" s="530"/>
      <c r="B251" s="531"/>
      <c r="C251" s="545"/>
      <c r="D251" s="49" t="s">
        <v>15</v>
      </c>
      <c r="E251" s="49"/>
      <c r="F251" s="1">
        <v>14</v>
      </c>
      <c r="G251" s="78"/>
      <c r="H251" s="78"/>
      <c r="I251" s="31"/>
      <c r="J251" s="31"/>
      <c r="K251" s="31"/>
      <c r="L251" s="31"/>
      <c r="M251" s="31"/>
      <c r="N251" s="31"/>
      <c r="O251" s="31"/>
    </row>
    <row r="252" spans="1:15" x14ac:dyDescent="0.2">
      <c r="A252" s="530"/>
      <c r="B252" s="531"/>
      <c r="C252" s="545"/>
      <c r="D252" s="49" t="s">
        <v>16</v>
      </c>
      <c r="E252" s="49"/>
      <c r="F252" s="1">
        <v>13</v>
      </c>
      <c r="G252" s="78"/>
      <c r="H252" s="78"/>
      <c r="I252" s="31"/>
      <c r="J252" s="31"/>
      <c r="K252" s="31"/>
      <c r="L252" s="31"/>
      <c r="M252" s="31"/>
      <c r="N252" s="31"/>
      <c r="O252" s="31"/>
    </row>
    <row r="253" spans="1:15" ht="26.25" customHeight="1" x14ac:dyDescent="0.2">
      <c r="A253" s="530"/>
      <c r="B253" s="531"/>
      <c r="C253" s="545"/>
      <c r="D253" s="49" t="s">
        <v>21</v>
      </c>
      <c r="E253" s="49"/>
      <c r="F253" s="18">
        <v>327.00111111111113</v>
      </c>
      <c r="G253" s="78"/>
      <c r="H253" s="78"/>
      <c r="I253" s="31"/>
      <c r="J253" s="31"/>
      <c r="K253" s="31"/>
      <c r="L253" s="31"/>
      <c r="M253" s="31"/>
      <c r="N253" s="31"/>
      <c r="O253" s="31"/>
    </row>
    <row r="254" spans="1:15" ht="27" customHeight="1" thickBot="1" x14ac:dyDescent="0.25">
      <c r="A254" s="530"/>
      <c r="B254" s="531"/>
      <c r="C254" s="545"/>
      <c r="D254" s="49" t="s">
        <v>131</v>
      </c>
      <c r="E254" s="49"/>
      <c r="F254" s="38">
        <v>1</v>
      </c>
      <c r="G254" s="78"/>
      <c r="H254" s="78"/>
      <c r="I254" s="31"/>
      <c r="J254" s="31"/>
      <c r="K254" s="31"/>
      <c r="L254" s="31"/>
      <c r="M254" s="31"/>
      <c r="N254" s="31"/>
      <c r="O254" s="31"/>
    </row>
    <row r="255" spans="1:15" x14ac:dyDescent="0.2">
      <c r="A255" s="542" t="s">
        <v>102</v>
      </c>
      <c r="B255" s="543" t="s">
        <v>7</v>
      </c>
      <c r="C255" s="543" t="s">
        <v>59</v>
      </c>
      <c r="D255" s="37" t="s">
        <v>11</v>
      </c>
      <c r="E255" s="47"/>
      <c r="F255" s="33"/>
      <c r="G255" s="78"/>
      <c r="H255" s="78"/>
      <c r="I255" s="31"/>
      <c r="J255" s="31"/>
      <c r="K255" s="31"/>
      <c r="L255" s="31"/>
      <c r="M255" s="31"/>
      <c r="N255" s="31"/>
      <c r="O255" s="31"/>
    </row>
    <row r="256" spans="1:15" ht="51" x14ac:dyDescent="0.2">
      <c r="A256" s="530"/>
      <c r="B256" s="531"/>
      <c r="C256" s="531"/>
      <c r="D256" s="21" t="s">
        <v>140</v>
      </c>
      <c r="E256" s="49"/>
      <c r="F256" s="1">
        <v>1576</v>
      </c>
      <c r="G256" s="78"/>
      <c r="H256" s="78"/>
      <c r="I256" s="31"/>
      <c r="J256" s="31"/>
      <c r="K256" s="31"/>
      <c r="L256" s="31"/>
      <c r="M256" s="31"/>
      <c r="N256" s="31"/>
      <c r="O256" s="31"/>
    </row>
    <row r="257" spans="1:15" ht="25.5" x14ac:dyDescent="0.2">
      <c r="A257" s="530"/>
      <c r="B257" s="531"/>
      <c r="C257" s="531"/>
      <c r="D257" s="21" t="s">
        <v>21</v>
      </c>
      <c r="E257" s="49"/>
      <c r="F257" s="18">
        <v>19.382931472081218</v>
      </c>
      <c r="G257" s="78"/>
      <c r="H257" s="78"/>
      <c r="I257" s="31"/>
      <c r="J257" s="31"/>
      <c r="K257" s="31"/>
      <c r="L257" s="31"/>
      <c r="M257" s="31"/>
      <c r="N257" s="31"/>
      <c r="O257" s="31"/>
    </row>
    <row r="258" spans="1:15" ht="26.25" thickBot="1" x14ac:dyDescent="0.25">
      <c r="A258" s="530"/>
      <c r="B258" s="531"/>
      <c r="C258" s="531"/>
      <c r="D258" s="21" t="s">
        <v>131</v>
      </c>
      <c r="E258" s="49"/>
      <c r="F258" s="38">
        <v>1</v>
      </c>
      <c r="G258" s="78"/>
      <c r="H258" s="78"/>
      <c r="I258" s="31"/>
      <c r="J258" s="31"/>
      <c r="K258" s="31"/>
      <c r="L258" s="31"/>
      <c r="M258" s="31"/>
      <c r="N258" s="31"/>
      <c r="O258" s="31"/>
    </row>
    <row r="259" spans="1:15" x14ac:dyDescent="0.2">
      <c r="A259" s="542" t="s">
        <v>136</v>
      </c>
      <c r="B259" s="543" t="s">
        <v>7</v>
      </c>
      <c r="C259" s="543" t="s">
        <v>59</v>
      </c>
      <c r="D259" s="37" t="s">
        <v>11</v>
      </c>
      <c r="E259" s="47"/>
      <c r="F259" s="33"/>
      <c r="G259" s="78"/>
      <c r="H259" s="78"/>
      <c r="I259" s="31"/>
      <c r="J259" s="31"/>
      <c r="K259" s="31"/>
      <c r="L259" s="31"/>
      <c r="M259" s="31"/>
      <c r="N259" s="31"/>
      <c r="O259" s="31"/>
    </row>
    <row r="260" spans="1:15" ht="38.25" x14ac:dyDescent="0.2">
      <c r="A260" s="530"/>
      <c r="B260" s="531"/>
      <c r="C260" s="531"/>
      <c r="D260" s="21" t="s">
        <v>137</v>
      </c>
      <c r="E260" s="49"/>
      <c r="F260" s="1">
        <v>2100</v>
      </c>
      <c r="G260" s="78"/>
      <c r="H260" s="78"/>
      <c r="I260" s="31"/>
      <c r="J260" s="31"/>
      <c r="K260" s="31"/>
      <c r="L260" s="31"/>
      <c r="M260" s="31"/>
      <c r="N260" s="31"/>
      <c r="O260" s="31"/>
    </row>
    <row r="261" spans="1:15" ht="25.5" x14ac:dyDescent="0.2">
      <c r="A261" s="530"/>
      <c r="B261" s="531"/>
      <c r="C261" s="531"/>
      <c r="D261" s="21" t="s">
        <v>22</v>
      </c>
      <c r="E261" s="49"/>
      <c r="F261" s="18">
        <v>55.178857142857147</v>
      </c>
      <c r="G261" s="78"/>
      <c r="H261" s="78"/>
      <c r="I261" s="31"/>
      <c r="J261" s="31"/>
      <c r="K261" s="31"/>
      <c r="L261" s="31"/>
      <c r="M261" s="31"/>
      <c r="N261" s="31"/>
      <c r="O261" s="31"/>
    </row>
    <row r="262" spans="1:15" ht="26.25" thickBot="1" x14ac:dyDescent="0.25">
      <c r="A262" s="530"/>
      <c r="B262" s="531"/>
      <c r="C262" s="531"/>
      <c r="D262" s="21" t="s">
        <v>168</v>
      </c>
      <c r="E262" s="49"/>
      <c r="F262" s="38">
        <v>1</v>
      </c>
      <c r="G262" s="78"/>
      <c r="H262" s="78"/>
      <c r="I262" s="31"/>
      <c r="J262" s="31"/>
      <c r="K262" s="31"/>
      <c r="L262" s="31"/>
      <c r="M262" s="31"/>
      <c r="N262" s="31"/>
      <c r="O262" s="31"/>
    </row>
    <row r="263" spans="1:15" x14ac:dyDescent="0.2">
      <c r="A263" s="542" t="s">
        <v>103</v>
      </c>
      <c r="B263" s="543" t="s">
        <v>7</v>
      </c>
      <c r="C263" s="543" t="s">
        <v>59</v>
      </c>
      <c r="D263" s="37" t="s">
        <v>11</v>
      </c>
      <c r="E263" s="47"/>
      <c r="F263" s="33"/>
      <c r="G263" s="78"/>
      <c r="H263" s="78"/>
      <c r="I263" s="31"/>
      <c r="J263" s="31"/>
      <c r="K263" s="31"/>
      <c r="L263" s="31"/>
      <c r="M263" s="31"/>
      <c r="N263" s="31"/>
      <c r="O263" s="31"/>
    </row>
    <row r="264" spans="1:15" ht="38.25" x14ac:dyDescent="0.2">
      <c r="A264" s="530"/>
      <c r="B264" s="531"/>
      <c r="C264" s="531"/>
      <c r="D264" s="21" t="s">
        <v>104</v>
      </c>
      <c r="E264" s="49"/>
      <c r="F264" s="1">
        <v>4800</v>
      </c>
      <c r="G264" s="78"/>
      <c r="H264" s="78"/>
      <c r="I264" s="31"/>
      <c r="J264" s="31"/>
      <c r="K264" s="31"/>
      <c r="L264" s="31"/>
      <c r="M264" s="31"/>
      <c r="N264" s="31"/>
      <c r="O264" s="31"/>
    </row>
    <row r="265" spans="1:15" ht="25.5" x14ac:dyDescent="0.2">
      <c r="A265" s="530"/>
      <c r="B265" s="531"/>
      <c r="C265" s="531"/>
      <c r="D265" s="21" t="s">
        <v>21</v>
      </c>
      <c r="E265" s="49"/>
      <c r="F265" s="18">
        <v>56.392654166666667</v>
      </c>
      <c r="G265" s="78"/>
      <c r="H265" s="78"/>
      <c r="I265" s="31"/>
      <c r="J265" s="31"/>
      <c r="K265" s="31"/>
      <c r="L265" s="31"/>
      <c r="M265" s="31"/>
      <c r="N265" s="31"/>
      <c r="O265" s="31"/>
    </row>
    <row r="266" spans="1:15" ht="26.25" thickBot="1" x14ac:dyDescent="0.25">
      <c r="A266" s="530"/>
      <c r="B266" s="531"/>
      <c r="C266" s="531"/>
      <c r="D266" s="21" t="s">
        <v>131</v>
      </c>
      <c r="E266" s="49"/>
      <c r="F266" s="38">
        <v>1</v>
      </c>
      <c r="G266" s="78"/>
      <c r="H266" s="78"/>
      <c r="I266" s="31"/>
      <c r="J266" s="31"/>
      <c r="K266" s="31"/>
      <c r="L266" s="31"/>
      <c r="M266" s="31"/>
      <c r="N266" s="31"/>
      <c r="O266" s="31"/>
    </row>
    <row r="267" spans="1:15" x14ac:dyDescent="0.2">
      <c r="A267" s="542" t="s">
        <v>105</v>
      </c>
      <c r="B267" s="543" t="s">
        <v>7</v>
      </c>
      <c r="C267" s="543" t="s">
        <v>59</v>
      </c>
      <c r="D267" s="37" t="s">
        <v>11</v>
      </c>
      <c r="E267" s="47"/>
      <c r="F267" s="33"/>
      <c r="G267" s="78"/>
      <c r="H267" s="78"/>
      <c r="I267" s="31"/>
      <c r="J267" s="31"/>
      <c r="K267" s="31"/>
      <c r="L267" s="31"/>
      <c r="M267" s="31"/>
      <c r="N267" s="31"/>
      <c r="O267" s="31"/>
    </row>
    <row r="268" spans="1:15" ht="38.25" x14ac:dyDescent="0.2">
      <c r="A268" s="530"/>
      <c r="B268" s="531"/>
      <c r="C268" s="531"/>
      <c r="D268" s="21" t="s">
        <v>122</v>
      </c>
      <c r="E268" s="49"/>
      <c r="F268" s="1">
        <v>295</v>
      </c>
      <c r="G268" s="78"/>
      <c r="H268" s="78"/>
      <c r="I268" s="31"/>
      <c r="J268" s="31"/>
      <c r="K268" s="31"/>
      <c r="L268" s="31"/>
      <c r="M268" s="31"/>
      <c r="N268" s="31"/>
      <c r="O268" s="31"/>
    </row>
    <row r="269" spans="1:15" ht="25.5" x14ac:dyDescent="0.2">
      <c r="A269" s="530"/>
      <c r="B269" s="531"/>
      <c r="C269" s="531"/>
      <c r="D269" s="21" t="s">
        <v>21</v>
      </c>
      <c r="E269" s="49"/>
      <c r="F269" s="18">
        <v>133.54305084745761</v>
      </c>
      <c r="G269" s="78"/>
      <c r="H269" s="78"/>
      <c r="I269" s="31"/>
      <c r="J269" s="31"/>
      <c r="K269" s="31"/>
      <c r="L269" s="31"/>
      <c r="M269" s="31"/>
      <c r="N269" s="31"/>
      <c r="O269" s="31"/>
    </row>
    <row r="270" spans="1:15" ht="26.25" thickBot="1" x14ac:dyDescent="0.25">
      <c r="A270" s="530"/>
      <c r="B270" s="531"/>
      <c r="C270" s="531"/>
      <c r="D270" s="21" t="s">
        <v>131</v>
      </c>
      <c r="E270" s="49"/>
      <c r="F270" s="38">
        <v>1</v>
      </c>
      <c r="G270" s="78"/>
      <c r="H270" s="78"/>
      <c r="I270" s="31"/>
      <c r="J270" s="31"/>
      <c r="K270" s="31"/>
      <c r="L270" s="31"/>
      <c r="M270" s="31"/>
      <c r="N270" s="31"/>
      <c r="O270" s="31"/>
    </row>
    <row r="271" spans="1:15" x14ac:dyDescent="0.2">
      <c r="A271" s="542" t="s">
        <v>106</v>
      </c>
      <c r="B271" s="543" t="s">
        <v>7</v>
      </c>
      <c r="C271" s="543" t="s">
        <v>59</v>
      </c>
      <c r="D271" s="37" t="s">
        <v>11</v>
      </c>
      <c r="E271" s="47"/>
      <c r="F271" s="33"/>
      <c r="G271" s="78"/>
      <c r="H271" s="78"/>
      <c r="I271" s="31"/>
      <c r="J271" s="31"/>
      <c r="K271" s="31"/>
      <c r="L271" s="31"/>
      <c r="M271" s="31"/>
      <c r="N271" s="31"/>
      <c r="O271" s="31"/>
    </row>
    <row r="272" spans="1:15" ht="51" x14ac:dyDescent="0.2">
      <c r="A272" s="530"/>
      <c r="B272" s="531"/>
      <c r="C272" s="531"/>
      <c r="D272" s="21" t="s">
        <v>158</v>
      </c>
      <c r="E272" s="49"/>
      <c r="F272" s="1">
        <v>1980</v>
      </c>
      <c r="G272" s="78"/>
      <c r="H272" s="78"/>
      <c r="I272" s="31"/>
      <c r="J272" s="31"/>
      <c r="K272" s="31"/>
      <c r="L272" s="31"/>
      <c r="M272" s="31"/>
      <c r="N272" s="31"/>
      <c r="O272" s="31"/>
    </row>
    <row r="273" spans="1:15" ht="25.5" x14ac:dyDescent="0.2">
      <c r="A273" s="530"/>
      <c r="B273" s="531"/>
      <c r="C273" s="531"/>
      <c r="D273" s="21" t="s">
        <v>21</v>
      </c>
      <c r="E273" s="49"/>
      <c r="F273" s="18">
        <v>112.04506565656567</v>
      </c>
      <c r="G273" s="78"/>
      <c r="H273" s="78"/>
      <c r="I273" s="31"/>
      <c r="J273" s="31"/>
      <c r="K273" s="31"/>
      <c r="L273" s="31"/>
      <c r="M273" s="31"/>
      <c r="N273" s="31"/>
      <c r="O273" s="31"/>
    </row>
    <row r="274" spans="1:15" ht="26.25" thickBot="1" x14ac:dyDescent="0.25">
      <c r="A274" s="530"/>
      <c r="B274" s="531"/>
      <c r="C274" s="531"/>
      <c r="D274" s="21" t="s">
        <v>131</v>
      </c>
      <c r="E274" s="49"/>
      <c r="F274" s="38">
        <v>1</v>
      </c>
      <c r="G274" s="78"/>
      <c r="H274" s="78"/>
      <c r="I274" s="31"/>
      <c r="J274" s="31"/>
      <c r="K274" s="31"/>
      <c r="L274" s="31"/>
      <c r="M274" s="31"/>
      <c r="N274" s="31"/>
      <c r="O274" s="31"/>
    </row>
    <row r="275" spans="1:15" x14ac:dyDescent="0.2">
      <c r="A275" s="542" t="s">
        <v>107</v>
      </c>
      <c r="B275" s="543" t="s">
        <v>7</v>
      </c>
      <c r="C275" s="543" t="s">
        <v>59</v>
      </c>
      <c r="D275" s="37" t="s">
        <v>11</v>
      </c>
      <c r="E275" s="47"/>
      <c r="F275" s="33"/>
      <c r="G275" s="78"/>
      <c r="H275" s="78"/>
      <c r="I275" s="31"/>
      <c r="J275" s="31"/>
      <c r="K275" s="31"/>
      <c r="L275" s="31"/>
      <c r="M275" s="31"/>
      <c r="N275" s="31"/>
      <c r="O275" s="31"/>
    </row>
    <row r="276" spans="1:15" ht="38.25" x14ac:dyDescent="0.2">
      <c r="A276" s="530"/>
      <c r="B276" s="531"/>
      <c r="C276" s="531"/>
      <c r="D276" s="21" t="s">
        <v>108</v>
      </c>
      <c r="E276" s="49"/>
      <c r="F276" s="1">
        <v>4306</v>
      </c>
      <c r="G276" s="78"/>
      <c r="H276" s="78"/>
      <c r="I276" s="31"/>
      <c r="J276" s="31"/>
      <c r="K276" s="31"/>
      <c r="L276" s="31"/>
      <c r="M276" s="31"/>
      <c r="N276" s="31"/>
      <c r="O276" s="31"/>
    </row>
    <row r="277" spans="1:15" ht="25.5" x14ac:dyDescent="0.2">
      <c r="A277" s="530"/>
      <c r="B277" s="531"/>
      <c r="C277" s="531"/>
      <c r="D277" s="21" t="s">
        <v>21</v>
      </c>
      <c r="E277" s="49"/>
      <c r="F277" s="18">
        <v>2.3892057594054807</v>
      </c>
      <c r="G277" s="78"/>
      <c r="H277" s="78"/>
      <c r="I277" s="31"/>
      <c r="J277" s="31"/>
      <c r="K277" s="31"/>
      <c r="L277" s="31"/>
      <c r="M277" s="31"/>
      <c r="N277" s="31"/>
      <c r="O277" s="31"/>
    </row>
    <row r="278" spans="1:15" ht="26.25" thickBot="1" x14ac:dyDescent="0.25">
      <c r="A278" s="530"/>
      <c r="B278" s="531"/>
      <c r="C278" s="531"/>
      <c r="D278" s="21" t="s">
        <v>131</v>
      </c>
      <c r="E278" s="49"/>
      <c r="F278" s="38">
        <v>1</v>
      </c>
      <c r="G278" s="78"/>
      <c r="H278" s="78"/>
      <c r="I278" s="31"/>
      <c r="J278" s="31"/>
      <c r="K278" s="31"/>
      <c r="L278" s="31"/>
      <c r="M278" s="31"/>
      <c r="N278" s="31"/>
      <c r="O278" s="31"/>
    </row>
    <row r="279" spans="1:15" x14ac:dyDescent="0.2">
      <c r="A279" s="542" t="s">
        <v>44</v>
      </c>
      <c r="B279" s="543" t="s">
        <v>7</v>
      </c>
      <c r="C279" s="543" t="s">
        <v>59</v>
      </c>
      <c r="D279" s="37" t="s">
        <v>11</v>
      </c>
      <c r="E279" s="47"/>
      <c r="F279" s="33"/>
      <c r="G279" s="78"/>
      <c r="H279" s="78"/>
      <c r="I279" s="31"/>
      <c r="J279" s="31"/>
      <c r="K279" s="31"/>
      <c r="L279" s="31"/>
      <c r="M279" s="31"/>
      <c r="N279" s="31"/>
      <c r="O279" s="31"/>
    </row>
    <row r="280" spans="1:15" ht="25.5" customHeight="1" x14ac:dyDescent="0.2">
      <c r="A280" s="530"/>
      <c r="B280" s="531"/>
      <c r="C280" s="531"/>
      <c r="D280" s="21" t="s">
        <v>12</v>
      </c>
      <c r="E280" s="49"/>
      <c r="F280" s="1">
        <v>977</v>
      </c>
      <c r="G280" s="78"/>
      <c r="H280" s="78"/>
      <c r="I280" s="31"/>
      <c r="J280" s="31"/>
      <c r="K280" s="31"/>
      <c r="L280" s="31"/>
      <c r="M280" s="31"/>
      <c r="N280" s="31"/>
      <c r="O280" s="31"/>
    </row>
    <row r="281" spans="1:15" ht="25.5" x14ac:dyDescent="0.2">
      <c r="A281" s="530"/>
      <c r="B281" s="531"/>
      <c r="C281" s="531"/>
      <c r="D281" s="21" t="s">
        <v>21</v>
      </c>
      <c r="E281" s="49"/>
      <c r="F281" s="18">
        <v>57.787062436028656</v>
      </c>
      <c r="G281" s="78"/>
      <c r="H281" s="78"/>
      <c r="I281" s="31"/>
      <c r="J281" s="31"/>
      <c r="K281" s="31"/>
      <c r="L281" s="31"/>
      <c r="M281" s="31"/>
      <c r="N281" s="31"/>
      <c r="O281" s="31"/>
    </row>
    <row r="282" spans="1:15" ht="26.25" thickBot="1" x14ac:dyDescent="0.25">
      <c r="A282" s="530"/>
      <c r="B282" s="531"/>
      <c r="C282" s="531"/>
      <c r="D282" s="21" t="s">
        <v>131</v>
      </c>
      <c r="E282" s="49"/>
      <c r="F282" s="38">
        <v>1</v>
      </c>
      <c r="G282" s="78"/>
      <c r="H282" s="78"/>
      <c r="I282" s="31"/>
      <c r="J282" s="31"/>
      <c r="K282" s="31"/>
      <c r="L282" s="31"/>
      <c r="M282" s="31"/>
      <c r="N282" s="31"/>
      <c r="O282" s="31"/>
    </row>
    <row r="283" spans="1:15" x14ac:dyDescent="0.25">
      <c r="A283" s="542" t="s">
        <v>138</v>
      </c>
      <c r="B283" s="543" t="s">
        <v>7</v>
      </c>
      <c r="C283" s="543" t="s">
        <v>59</v>
      </c>
      <c r="D283" s="44" t="s">
        <v>63</v>
      </c>
      <c r="E283" s="56"/>
      <c r="F283" s="33"/>
      <c r="G283" s="78"/>
      <c r="H283" s="78"/>
      <c r="I283" s="31"/>
      <c r="J283" s="31"/>
      <c r="K283" s="31"/>
      <c r="L283" s="31"/>
      <c r="M283" s="31"/>
      <c r="N283" s="31"/>
      <c r="O283" s="31"/>
    </row>
    <row r="284" spans="1:15" ht="46.5" customHeight="1" x14ac:dyDescent="0.2">
      <c r="A284" s="530"/>
      <c r="B284" s="531"/>
      <c r="C284" s="531"/>
      <c r="D284" s="21" t="s">
        <v>123</v>
      </c>
      <c r="E284" s="49"/>
      <c r="F284" s="1">
        <v>22</v>
      </c>
      <c r="G284" s="78"/>
      <c r="H284" s="78"/>
      <c r="I284" s="31"/>
      <c r="J284" s="31"/>
      <c r="K284" s="31"/>
      <c r="L284" s="31"/>
      <c r="M284" s="31"/>
      <c r="N284" s="31"/>
      <c r="O284" s="31"/>
    </row>
    <row r="285" spans="1:15" ht="75" customHeight="1" x14ac:dyDescent="0.2">
      <c r="A285" s="530"/>
      <c r="B285" s="531"/>
      <c r="C285" s="531"/>
      <c r="D285" s="21" t="s">
        <v>124</v>
      </c>
      <c r="E285" s="49"/>
      <c r="F285" s="18">
        <v>7740.1404545454543</v>
      </c>
      <c r="G285" s="78"/>
      <c r="H285" s="78"/>
      <c r="I285" s="31"/>
      <c r="J285" s="31"/>
      <c r="K285" s="31"/>
      <c r="L285" s="31"/>
      <c r="M285" s="31"/>
      <c r="N285" s="31"/>
      <c r="O285" s="31"/>
    </row>
    <row r="286" spans="1:15" ht="39" thickBot="1" x14ac:dyDescent="0.3">
      <c r="A286" s="530"/>
      <c r="B286" s="531"/>
      <c r="C286" s="531"/>
      <c r="D286" s="42" t="s">
        <v>160</v>
      </c>
      <c r="E286" s="50"/>
      <c r="F286" s="38">
        <v>1</v>
      </c>
      <c r="G286" s="78"/>
      <c r="H286" s="78"/>
      <c r="I286" s="31"/>
      <c r="J286" s="31"/>
      <c r="K286" s="31"/>
      <c r="L286" s="31"/>
      <c r="M286" s="31"/>
      <c r="N286" s="31"/>
      <c r="O286" s="31"/>
    </row>
    <row r="287" spans="1:15" x14ac:dyDescent="0.2">
      <c r="A287" s="546" t="s">
        <v>55</v>
      </c>
      <c r="B287" s="543" t="s">
        <v>7</v>
      </c>
      <c r="C287" s="543" t="s">
        <v>59</v>
      </c>
      <c r="D287" s="37" t="s">
        <v>11</v>
      </c>
      <c r="E287" s="47"/>
      <c r="F287" s="34"/>
      <c r="G287" s="79"/>
      <c r="H287" s="78"/>
      <c r="I287" s="31"/>
      <c r="J287" s="31"/>
      <c r="K287" s="31"/>
      <c r="L287" s="31"/>
      <c r="M287" s="31"/>
      <c r="N287" s="31"/>
      <c r="O287" s="31"/>
    </row>
    <row r="288" spans="1:15" ht="25.5" customHeight="1" x14ac:dyDescent="0.2">
      <c r="A288" s="547"/>
      <c r="B288" s="531"/>
      <c r="C288" s="531"/>
      <c r="D288" s="21" t="s">
        <v>27</v>
      </c>
      <c r="E288" s="49"/>
      <c r="F288" s="2">
        <v>56</v>
      </c>
      <c r="G288" s="79"/>
      <c r="H288" s="78"/>
      <c r="I288" s="31"/>
      <c r="J288" s="31"/>
      <c r="K288" s="31"/>
      <c r="L288" s="31"/>
      <c r="M288" s="31"/>
      <c r="N288" s="31"/>
      <c r="O288" s="31"/>
    </row>
    <row r="289" spans="1:15" ht="25.5" x14ac:dyDescent="0.2">
      <c r="A289" s="547"/>
      <c r="B289" s="531"/>
      <c r="C289" s="531"/>
      <c r="D289" s="21" t="s">
        <v>10</v>
      </c>
      <c r="E289" s="49"/>
      <c r="F289" s="3">
        <v>33.302857142857142</v>
      </c>
      <c r="G289" s="79"/>
      <c r="H289" s="78"/>
      <c r="I289" s="31"/>
      <c r="J289" s="31"/>
      <c r="K289" s="31"/>
      <c r="L289" s="31"/>
      <c r="M289" s="31"/>
      <c r="N289" s="31"/>
      <c r="O289" s="31"/>
    </row>
    <row r="290" spans="1:15" ht="39" thickBot="1" x14ac:dyDescent="0.25">
      <c r="A290" s="548"/>
      <c r="B290" s="549"/>
      <c r="C290" s="549"/>
      <c r="D290" s="53" t="s">
        <v>161</v>
      </c>
      <c r="E290" s="69"/>
      <c r="F290" s="55">
        <v>1</v>
      </c>
      <c r="G290" s="79"/>
      <c r="H290" s="78"/>
      <c r="I290" s="31"/>
      <c r="J290" s="31"/>
      <c r="K290" s="31"/>
      <c r="L290" s="31"/>
      <c r="M290" s="31"/>
      <c r="N290" s="31"/>
      <c r="O290" s="31"/>
    </row>
    <row r="291" spans="1:15" s="4" customFormat="1" x14ac:dyDescent="0.3">
      <c r="A291" s="29"/>
      <c r="B291" s="29" t="s">
        <v>178</v>
      </c>
      <c r="C291" s="29"/>
      <c r="D291" s="65"/>
      <c r="E291" s="65"/>
      <c r="F291" s="64"/>
    </row>
    <row r="292" spans="1:15" s="4" customFormat="1" x14ac:dyDescent="0.3">
      <c r="A292" s="29"/>
      <c r="B292" s="29"/>
      <c r="C292" s="29"/>
      <c r="D292" s="63"/>
      <c r="E292" s="63"/>
      <c r="F292" s="11"/>
      <c r="G292" s="45"/>
      <c r="H292" s="45"/>
    </row>
    <row r="293" spans="1:15" x14ac:dyDescent="0.25">
      <c r="G293" s="46"/>
      <c r="H293" s="46"/>
    </row>
    <row r="295" spans="1:15" x14ac:dyDescent="0.25">
      <c r="A295" s="59"/>
    </row>
  </sheetData>
  <mergeCells count="176">
    <mergeCell ref="O13:O22"/>
    <mergeCell ref="J4:J5"/>
    <mergeCell ref="K4:N4"/>
    <mergeCell ref="A8:O8"/>
    <mergeCell ref="I9:I12"/>
    <mergeCell ref="O9:O12"/>
    <mergeCell ref="J9:J12"/>
    <mergeCell ref="I13:I22"/>
    <mergeCell ref="J13:J22"/>
    <mergeCell ref="A13:A22"/>
    <mergeCell ref="B13:B22"/>
    <mergeCell ref="C13:C22"/>
    <mergeCell ref="A283:A286"/>
    <mergeCell ref="B283:B286"/>
    <mergeCell ref="C283:C286"/>
    <mergeCell ref="A287:A290"/>
    <mergeCell ref="B287:B290"/>
    <mergeCell ref="C287:C290"/>
    <mergeCell ref="A275:A278"/>
    <mergeCell ref="B275:B278"/>
    <mergeCell ref="C275:C278"/>
    <mergeCell ref="A279:A282"/>
    <mergeCell ref="B279:B282"/>
    <mergeCell ref="C279:C282"/>
    <mergeCell ref="A267:A270"/>
    <mergeCell ref="B267:B270"/>
    <mergeCell ref="C267:C270"/>
    <mergeCell ref="A271:A274"/>
    <mergeCell ref="B271:B274"/>
    <mergeCell ref="C271:C274"/>
    <mergeCell ref="A259:A262"/>
    <mergeCell ref="B259:B262"/>
    <mergeCell ref="C259:C262"/>
    <mergeCell ref="A263:A266"/>
    <mergeCell ref="B263:B266"/>
    <mergeCell ref="C263:C266"/>
    <mergeCell ref="A249:A254"/>
    <mergeCell ref="B249:B254"/>
    <mergeCell ref="C249:C254"/>
    <mergeCell ref="A255:A258"/>
    <mergeCell ref="B255:B258"/>
    <mergeCell ref="C255:C258"/>
    <mergeCell ref="A237:A242"/>
    <mergeCell ref="B237:B242"/>
    <mergeCell ref="C237:C242"/>
    <mergeCell ref="A243:A248"/>
    <mergeCell ref="B243:B248"/>
    <mergeCell ref="C243:C248"/>
    <mergeCell ref="A229:A232"/>
    <mergeCell ref="B229:B232"/>
    <mergeCell ref="C229:C232"/>
    <mergeCell ref="A233:A236"/>
    <mergeCell ref="B233:B236"/>
    <mergeCell ref="C233:C236"/>
    <mergeCell ref="A221:A224"/>
    <mergeCell ref="B221:B224"/>
    <mergeCell ref="C221:C224"/>
    <mergeCell ref="A225:A228"/>
    <mergeCell ref="B225:B228"/>
    <mergeCell ref="C225:C228"/>
    <mergeCell ref="A213:A216"/>
    <mergeCell ref="B213:B216"/>
    <mergeCell ref="C213:C216"/>
    <mergeCell ref="A217:A220"/>
    <mergeCell ref="B217:B220"/>
    <mergeCell ref="C217:C220"/>
    <mergeCell ref="A199:A202"/>
    <mergeCell ref="B199:B202"/>
    <mergeCell ref="C199:C202"/>
    <mergeCell ref="A203:A212"/>
    <mergeCell ref="B203:B212"/>
    <mergeCell ref="C203:C212"/>
    <mergeCell ref="A189:A194"/>
    <mergeCell ref="B189:B194"/>
    <mergeCell ref="C189:C194"/>
    <mergeCell ref="A195:A198"/>
    <mergeCell ref="B195:B198"/>
    <mergeCell ref="C195:C198"/>
    <mergeCell ref="A181:A184"/>
    <mergeCell ref="B181:B184"/>
    <mergeCell ref="C181:C184"/>
    <mergeCell ref="A185:A188"/>
    <mergeCell ref="B185:B188"/>
    <mergeCell ref="C185:C188"/>
    <mergeCell ref="A173:A176"/>
    <mergeCell ref="B173:B176"/>
    <mergeCell ref="C173:C176"/>
    <mergeCell ref="A177:A180"/>
    <mergeCell ref="B177:B180"/>
    <mergeCell ref="C177:C180"/>
    <mergeCell ref="A161:A166"/>
    <mergeCell ref="B161:B166"/>
    <mergeCell ref="C161:C166"/>
    <mergeCell ref="A167:A172"/>
    <mergeCell ref="B167:B172"/>
    <mergeCell ref="C167:C172"/>
    <mergeCell ref="A153:A156"/>
    <mergeCell ref="B153:B156"/>
    <mergeCell ref="C153:C156"/>
    <mergeCell ref="A157:A160"/>
    <mergeCell ref="B157:B160"/>
    <mergeCell ref="C157:C160"/>
    <mergeCell ref="A141:A146"/>
    <mergeCell ref="B141:B146"/>
    <mergeCell ref="C141:C146"/>
    <mergeCell ref="A147:A152"/>
    <mergeCell ref="B147:B152"/>
    <mergeCell ref="C147:C152"/>
    <mergeCell ref="A131:A136"/>
    <mergeCell ref="B131:B136"/>
    <mergeCell ref="C131:C136"/>
    <mergeCell ref="A137:A140"/>
    <mergeCell ref="B137:B140"/>
    <mergeCell ref="C137:C140"/>
    <mergeCell ref="A119:A124"/>
    <mergeCell ref="B119:B124"/>
    <mergeCell ref="C119:C124"/>
    <mergeCell ref="A125:A130"/>
    <mergeCell ref="B125:B130"/>
    <mergeCell ref="C125:C130"/>
    <mergeCell ref="A109:A112"/>
    <mergeCell ref="B109:B112"/>
    <mergeCell ref="C109:C112"/>
    <mergeCell ref="A113:A118"/>
    <mergeCell ref="B113:B118"/>
    <mergeCell ref="C113:C118"/>
    <mergeCell ref="A97:A102"/>
    <mergeCell ref="B97:B102"/>
    <mergeCell ref="C97:C102"/>
    <mergeCell ref="A103:A108"/>
    <mergeCell ref="B103:B108"/>
    <mergeCell ref="C103:C108"/>
    <mergeCell ref="A85:A90"/>
    <mergeCell ref="B85:B90"/>
    <mergeCell ref="C85:C90"/>
    <mergeCell ref="A91:A96"/>
    <mergeCell ref="B91:B96"/>
    <mergeCell ref="C91:C96"/>
    <mergeCell ref="A73:A78"/>
    <mergeCell ref="B73:B78"/>
    <mergeCell ref="C73:C78"/>
    <mergeCell ref="A79:A84"/>
    <mergeCell ref="B79:B84"/>
    <mergeCell ref="C79:C84"/>
    <mergeCell ref="A61:A66"/>
    <mergeCell ref="B61:B66"/>
    <mergeCell ref="C61:C66"/>
    <mergeCell ref="A67:A72"/>
    <mergeCell ref="B67:B72"/>
    <mergeCell ref="C67:C72"/>
    <mergeCell ref="A49:A54"/>
    <mergeCell ref="B49:B54"/>
    <mergeCell ref="C49:C54"/>
    <mergeCell ref="A55:A60"/>
    <mergeCell ref="B55:B60"/>
    <mergeCell ref="C55:C60"/>
    <mergeCell ref="A43:A48"/>
    <mergeCell ref="B43:B48"/>
    <mergeCell ref="C43:C48"/>
    <mergeCell ref="A27:A32"/>
    <mergeCell ref="B27:B32"/>
    <mergeCell ref="C27:C32"/>
    <mergeCell ref="A33:A38"/>
    <mergeCell ref="B33:B38"/>
    <mergeCell ref="C33:C38"/>
    <mergeCell ref="A23:A26"/>
    <mergeCell ref="B23:B26"/>
    <mergeCell ref="C23:C26"/>
    <mergeCell ref="A9:A12"/>
    <mergeCell ref="B9:B12"/>
    <mergeCell ref="C9:C12"/>
    <mergeCell ref="A1:F1"/>
    <mergeCell ref="A2:F2"/>
    <mergeCell ref="A39:A42"/>
    <mergeCell ref="B39:B42"/>
    <mergeCell ref="C39:C42"/>
  </mergeCells>
  <printOptions horizontalCentered="1"/>
  <pageMargins left="0.27559055118110237" right="0.23622047244094491" top="0.15748031496062992" bottom="0.11811023622047245" header="0" footer="0"/>
  <pageSetup paperSize="9" scale="42" fitToHeight="0" orientation="landscape" r:id="rId1"/>
  <rowBreaks count="6" manualBreakCount="6">
    <brk id="48" max="14" man="1"/>
    <brk id="96" max="14" man="1"/>
    <brk id="140" max="14" man="1"/>
    <brk id="188" max="14" man="1"/>
    <brk id="232" max="14" man="1"/>
    <brk id="27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3"/>
  <sheetViews>
    <sheetView tabSelected="1" topLeftCell="A458" zoomScale="68" zoomScaleNormal="68" workbookViewId="0">
      <selection activeCell="L469" sqref="L469"/>
    </sheetView>
  </sheetViews>
  <sheetFormatPr defaultRowHeight="18.75" x14ac:dyDescent="0.25"/>
  <cols>
    <col min="1" max="1" width="20.42578125" style="5" customWidth="1"/>
    <col min="2" max="2" width="27.85546875" style="4" customWidth="1"/>
    <col min="3" max="3" width="53.140625" style="58" customWidth="1"/>
    <col min="4" max="4" width="12" style="6" customWidth="1"/>
    <col min="5" max="5" width="33.5703125" style="6" customWidth="1"/>
    <col min="6" max="6" width="19.85546875" style="40" customWidth="1"/>
    <col min="7" max="7" width="16" style="8" customWidth="1"/>
    <col min="8" max="8" width="22.140625" style="27" customWidth="1"/>
    <col min="9" max="9" width="31.85546875" style="28" customWidth="1"/>
    <col min="10" max="10" width="18.28515625" style="11" customWidth="1"/>
    <col min="11" max="11" width="20.7109375" style="11" customWidth="1"/>
    <col min="12" max="12" width="21.85546875" style="11" customWidth="1"/>
    <col min="13" max="13" width="21.7109375" style="11" customWidth="1"/>
    <col min="14" max="14" width="22.28515625" style="11" customWidth="1"/>
    <col min="16" max="16" width="12.28515625" bestFit="1" customWidth="1"/>
    <col min="17" max="17" width="37.85546875" customWidth="1"/>
    <col min="18" max="18" width="15.7109375" bestFit="1" customWidth="1"/>
    <col min="19" max="19" width="17.140625" customWidth="1"/>
  </cols>
  <sheetData>
    <row r="1" spans="1:17" x14ac:dyDescent="0.3">
      <c r="A1"/>
      <c r="B1"/>
      <c r="C1"/>
      <c r="D1"/>
      <c r="E1"/>
      <c r="F1"/>
      <c r="G1"/>
      <c r="H1"/>
      <c r="I1"/>
      <c r="J1" s="123" t="s">
        <v>205</v>
      </c>
      <c r="K1" s="117"/>
      <c r="L1" s="117"/>
      <c r="M1" s="117"/>
      <c r="N1" s="117"/>
    </row>
    <row r="2" spans="1:17" x14ac:dyDescent="0.3">
      <c r="A2"/>
      <c r="B2"/>
      <c r="C2"/>
      <c r="D2"/>
      <c r="E2"/>
      <c r="F2"/>
      <c r="G2"/>
      <c r="H2"/>
      <c r="I2"/>
      <c r="J2" s="123" t="s">
        <v>255</v>
      </c>
      <c r="K2" s="117"/>
      <c r="L2" s="117"/>
      <c r="M2" s="117"/>
      <c r="N2" s="117"/>
    </row>
    <row r="3" spans="1:17" x14ac:dyDescent="0.3">
      <c r="A3"/>
      <c r="B3"/>
      <c r="C3"/>
      <c r="D3"/>
      <c r="E3"/>
      <c r="F3"/>
      <c r="G3"/>
      <c r="H3"/>
      <c r="I3"/>
      <c r="J3" s="123"/>
      <c r="K3" s="123"/>
      <c r="L3" s="123"/>
      <c r="M3" s="123"/>
      <c r="N3" s="123"/>
    </row>
    <row r="4" spans="1:17" ht="15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7" ht="37.5" customHeight="1" x14ac:dyDescent="0.25">
      <c r="A5" s="618" t="s">
        <v>0</v>
      </c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</row>
    <row r="6" spans="1:17" ht="27.75" customHeight="1" x14ac:dyDescent="0.25">
      <c r="A6" s="618" t="s">
        <v>210</v>
      </c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</row>
    <row r="7" spans="1:17" ht="39" customHeight="1" thickBot="1" x14ac:dyDescent="0.3">
      <c r="E7" s="7"/>
      <c r="F7" s="41"/>
      <c r="H7" s="9"/>
      <c r="I7" s="10"/>
    </row>
    <row r="8" spans="1:17" ht="19.5" thickBot="1" x14ac:dyDescent="0.3">
      <c r="A8" s="620" t="s">
        <v>221</v>
      </c>
      <c r="B8" s="620" t="s">
        <v>1</v>
      </c>
      <c r="C8" s="620" t="s">
        <v>2</v>
      </c>
      <c r="D8" s="620" t="s">
        <v>56</v>
      </c>
      <c r="E8" s="620" t="s">
        <v>57</v>
      </c>
      <c r="F8" s="622" t="s">
        <v>3</v>
      </c>
      <c r="G8" s="555" t="s">
        <v>128</v>
      </c>
      <c r="H8" s="557"/>
      <c r="I8" s="731" t="s">
        <v>58</v>
      </c>
      <c r="J8" s="732"/>
      <c r="K8" s="732"/>
      <c r="L8" s="732"/>
      <c r="M8" s="732"/>
      <c r="N8" s="733"/>
    </row>
    <row r="9" spans="1:17" ht="99.75" customHeight="1" thickBot="1" x14ac:dyDescent="0.3">
      <c r="A9" s="621"/>
      <c r="B9" s="621"/>
      <c r="C9" s="621"/>
      <c r="D9" s="621"/>
      <c r="E9" s="621"/>
      <c r="F9" s="623"/>
      <c r="G9" s="642"/>
      <c r="H9" s="643"/>
      <c r="I9" s="127" t="s">
        <v>4</v>
      </c>
      <c r="J9" s="14" t="s">
        <v>5</v>
      </c>
      <c r="K9" s="15" t="s">
        <v>6</v>
      </c>
      <c r="L9" s="15" t="s">
        <v>207</v>
      </c>
      <c r="M9" s="15" t="s">
        <v>208</v>
      </c>
      <c r="N9" s="15" t="s">
        <v>209</v>
      </c>
      <c r="Q9" s="225"/>
    </row>
    <row r="10" spans="1:17" ht="19.5" thickBot="1" x14ac:dyDescent="0.3">
      <c r="A10" s="16">
        <v>1</v>
      </c>
      <c r="B10" s="35">
        <v>2</v>
      </c>
      <c r="C10" s="32">
        <v>3</v>
      </c>
      <c r="D10" s="17">
        <v>4</v>
      </c>
      <c r="E10" s="32">
        <v>5</v>
      </c>
      <c r="F10" s="17">
        <v>6</v>
      </c>
      <c r="G10" s="734">
        <v>7</v>
      </c>
      <c r="H10" s="735"/>
      <c r="I10" s="30">
        <v>8</v>
      </c>
      <c r="J10" s="30">
        <v>9</v>
      </c>
      <c r="K10" s="57">
        <v>10</v>
      </c>
      <c r="L10" s="57">
        <v>10</v>
      </c>
      <c r="M10" s="57">
        <v>10</v>
      </c>
      <c r="N10" s="57">
        <v>10</v>
      </c>
      <c r="Q10" s="225"/>
    </row>
    <row r="11" spans="1:17" ht="26.25" customHeight="1" thickBot="1" x14ac:dyDescent="0.3">
      <c r="A11" s="841" t="s">
        <v>280</v>
      </c>
      <c r="B11" s="620" t="s">
        <v>271</v>
      </c>
      <c r="C11" s="669" t="s">
        <v>237</v>
      </c>
      <c r="D11" s="650" t="s">
        <v>222</v>
      </c>
      <c r="E11" s="665" t="s">
        <v>159</v>
      </c>
      <c r="F11" s="660" t="s">
        <v>8</v>
      </c>
      <c r="G11" s="74" t="s">
        <v>9</v>
      </c>
      <c r="H11" s="173">
        <f>H12+H13+H14+H15+H16</f>
        <v>3755977.98</v>
      </c>
      <c r="I11" s="276" t="s">
        <v>62</v>
      </c>
      <c r="J11" s="224">
        <v>1278314.52</v>
      </c>
      <c r="K11" s="14">
        <f>533765.87</f>
        <v>533765.87</v>
      </c>
      <c r="L11" s="14">
        <v>599952.84</v>
      </c>
      <c r="M11" s="224">
        <v>646749.16</v>
      </c>
      <c r="N11" s="14">
        <v>697195.59</v>
      </c>
      <c r="Q11" s="62"/>
    </row>
    <row r="12" spans="1:17" ht="38.25" x14ac:dyDescent="0.25">
      <c r="A12" s="842"/>
      <c r="B12" s="644"/>
      <c r="C12" s="670"/>
      <c r="D12" s="573"/>
      <c r="E12" s="666"/>
      <c r="F12" s="661"/>
      <c r="G12" s="198">
        <v>2024</v>
      </c>
      <c r="H12" s="213">
        <f>J11</f>
        <v>1278314.52</v>
      </c>
      <c r="I12" s="277" t="s">
        <v>20</v>
      </c>
      <c r="J12" s="526">
        <v>27</v>
      </c>
      <c r="K12" s="222">
        <v>10</v>
      </c>
      <c r="L12" s="222">
        <v>10</v>
      </c>
      <c r="M12" s="223">
        <v>10</v>
      </c>
      <c r="N12" s="222">
        <v>10</v>
      </c>
      <c r="Q12" s="225"/>
    </row>
    <row r="13" spans="1:17" ht="25.5" x14ac:dyDescent="0.25">
      <c r="A13" s="842"/>
      <c r="B13" s="644"/>
      <c r="C13" s="670"/>
      <c r="D13" s="573"/>
      <c r="E13" s="666"/>
      <c r="F13" s="661"/>
      <c r="G13" s="199">
        <v>2025</v>
      </c>
      <c r="H13" s="214">
        <f>K11</f>
        <v>533765.87</v>
      </c>
      <c r="I13" s="278" t="s">
        <v>129</v>
      </c>
      <c r="J13" s="149">
        <f>J11/J12</f>
        <v>47344.982222222221</v>
      </c>
      <c r="K13" s="146">
        <f>K11/K12</f>
        <v>53376.587</v>
      </c>
      <c r="L13" s="146">
        <f>L11/L12</f>
        <v>59995.284</v>
      </c>
      <c r="M13" s="149">
        <f>M11/M12</f>
        <v>64674.916000000005</v>
      </c>
      <c r="N13" s="146">
        <f>N11/N12</f>
        <v>69719.558999999994</v>
      </c>
      <c r="Q13" s="225"/>
    </row>
    <row r="14" spans="1:17" ht="25.5" x14ac:dyDescent="0.25">
      <c r="A14" s="842"/>
      <c r="B14" s="644"/>
      <c r="C14" s="670"/>
      <c r="D14" s="573"/>
      <c r="E14" s="666"/>
      <c r="F14" s="662"/>
      <c r="G14" s="217">
        <v>2026</v>
      </c>
      <c r="H14" s="214">
        <f>L11</f>
        <v>599952.84</v>
      </c>
      <c r="I14" s="279" t="s">
        <v>164</v>
      </c>
      <c r="J14" s="150">
        <v>1</v>
      </c>
      <c r="K14" s="147">
        <v>1</v>
      </c>
      <c r="L14" s="147">
        <v>1</v>
      </c>
      <c r="M14" s="150">
        <v>1</v>
      </c>
      <c r="N14" s="147">
        <v>1</v>
      </c>
      <c r="Q14" s="225"/>
    </row>
    <row r="15" spans="1:17" ht="19.5" x14ac:dyDescent="0.25">
      <c r="A15" s="842"/>
      <c r="B15" s="644"/>
      <c r="C15" s="670"/>
      <c r="D15" s="573"/>
      <c r="E15" s="666"/>
      <c r="F15" s="662"/>
      <c r="G15" s="217">
        <v>2027</v>
      </c>
      <c r="H15" s="215">
        <f>M11</f>
        <v>646749.16</v>
      </c>
      <c r="I15" s="278"/>
      <c r="J15" s="149"/>
      <c r="K15" s="146"/>
      <c r="L15" s="146"/>
      <c r="M15" s="149"/>
      <c r="N15" s="146"/>
      <c r="Q15" s="225"/>
    </row>
    <row r="16" spans="1:17" ht="20.25" thickBot="1" x14ac:dyDescent="0.3">
      <c r="A16" s="842"/>
      <c r="B16" s="644"/>
      <c r="C16" s="671"/>
      <c r="D16" s="651"/>
      <c r="E16" s="667"/>
      <c r="F16" s="663"/>
      <c r="G16" s="205">
        <v>2028</v>
      </c>
      <c r="H16" s="216">
        <f>N11</f>
        <v>697195.59</v>
      </c>
      <c r="I16" s="280"/>
      <c r="J16" s="151"/>
      <c r="K16" s="148"/>
      <c r="L16" s="148"/>
      <c r="M16" s="151"/>
      <c r="N16" s="148"/>
      <c r="Q16" s="225"/>
    </row>
    <row r="17" spans="1:18" ht="33" customHeight="1" thickBot="1" x14ac:dyDescent="0.3">
      <c r="A17" s="842"/>
      <c r="B17" s="644"/>
      <c r="C17" s="672" t="s">
        <v>238</v>
      </c>
      <c r="D17" s="628" t="s">
        <v>222</v>
      </c>
      <c r="E17" s="631" t="s">
        <v>130</v>
      </c>
      <c r="F17" s="635" t="s">
        <v>9</v>
      </c>
      <c r="G17" s="636"/>
      <c r="H17" s="209">
        <f>J17+K17+L17+M17+N17</f>
        <v>16595451.4</v>
      </c>
      <c r="I17" s="172" t="s">
        <v>62</v>
      </c>
      <c r="J17" s="281">
        <f>H24+H30</f>
        <v>2379963.54</v>
      </c>
      <c r="K17" s="335">
        <v>3062458.79</v>
      </c>
      <c r="L17" s="180">
        <v>3442203.68</v>
      </c>
      <c r="M17" s="180">
        <v>3710695.57</v>
      </c>
      <c r="N17" s="180">
        <v>4000129.82</v>
      </c>
      <c r="Q17" s="226"/>
    </row>
    <row r="18" spans="1:18" ht="52.9" customHeight="1" x14ac:dyDescent="0.25">
      <c r="A18" s="842"/>
      <c r="B18" s="644"/>
      <c r="C18" s="673"/>
      <c r="D18" s="629"/>
      <c r="E18" s="632"/>
      <c r="F18" s="637">
        <v>2024</v>
      </c>
      <c r="G18" s="638"/>
      <c r="H18" s="212">
        <f>H24+H30</f>
        <v>2379963.54</v>
      </c>
      <c r="I18" s="758" t="s">
        <v>170</v>
      </c>
      <c r="J18" s="775">
        <v>76</v>
      </c>
      <c r="K18" s="777">
        <v>62</v>
      </c>
      <c r="L18" s="611">
        <v>60</v>
      </c>
      <c r="M18" s="611">
        <v>59</v>
      </c>
      <c r="N18" s="611">
        <v>58</v>
      </c>
      <c r="Q18" s="225"/>
    </row>
    <row r="19" spans="1:18" ht="26.25" customHeight="1" x14ac:dyDescent="0.25">
      <c r="A19" s="842"/>
      <c r="B19" s="644"/>
      <c r="C19" s="673"/>
      <c r="D19" s="629"/>
      <c r="E19" s="632"/>
      <c r="F19" s="770">
        <v>2025</v>
      </c>
      <c r="G19" s="773"/>
      <c r="H19" s="137">
        <f>H25+H31</f>
        <v>3062458.79</v>
      </c>
      <c r="I19" s="759"/>
      <c r="J19" s="776"/>
      <c r="K19" s="778"/>
      <c r="L19" s="612"/>
      <c r="M19" s="612"/>
      <c r="N19" s="612"/>
    </row>
    <row r="20" spans="1:18" ht="19.5" x14ac:dyDescent="0.25">
      <c r="A20" s="842"/>
      <c r="B20" s="644"/>
      <c r="C20" s="673"/>
      <c r="D20" s="629"/>
      <c r="E20" s="632"/>
      <c r="F20" s="637">
        <v>2026</v>
      </c>
      <c r="G20" s="638"/>
      <c r="H20" s="137">
        <f>H26+H32</f>
        <v>3442203.68</v>
      </c>
      <c r="I20" s="772" t="s">
        <v>171</v>
      </c>
      <c r="J20" s="692">
        <f>J17/J18</f>
        <v>31315.309736842104</v>
      </c>
      <c r="K20" s="695">
        <f>K17/K18</f>
        <v>49394.496612903225</v>
      </c>
      <c r="L20" s="698">
        <f>L17/L18</f>
        <v>57370.061333333339</v>
      </c>
      <c r="M20" s="698">
        <f>M17/M18</f>
        <v>62893.145254237286</v>
      </c>
      <c r="N20" s="698">
        <f>N17/N18</f>
        <v>68967.75551724137</v>
      </c>
    </row>
    <row r="21" spans="1:18" ht="19.5" x14ac:dyDescent="0.25">
      <c r="A21" s="842"/>
      <c r="B21" s="644"/>
      <c r="C21" s="673"/>
      <c r="D21" s="629"/>
      <c r="E21" s="632"/>
      <c r="F21" s="761">
        <v>2027</v>
      </c>
      <c r="G21" s="774"/>
      <c r="H21" s="137">
        <f>H27+H33</f>
        <v>3710695.56</v>
      </c>
      <c r="I21" s="758"/>
      <c r="J21" s="693"/>
      <c r="K21" s="696"/>
      <c r="L21" s="699"/>
      <c r="M21" s="699"/>
      <c r="N21" s="699"/>
    </row>
    <row r="22" spans="1:18" ht="24.75" customHeight="1" thickBot="1" x14ac:dyDescent="0.3">
      <c r="A22" s="842"/>
      <c r="B22" s="644"/>
      <c r="C22" s="673"/>
      <c r="D22" s="629"/>
      <c r="E22" s="632"/>
      <c r="F22" s="639">
        <v>2028</v>
      </c>
      <c r="G22" s="640"/>
      <c r="H22" s="137">
        <f>H28+H34</f>
        <v>4000129.82</v>
      </c>
      <c r="I22" s="759"/>
      <c r="J22" s="694"/>
      <c r="K22" s="697"/>
      <c r="L22" s="700"/>
      <c r="M22" s="700"/>
      <c r="N22" s="700"/>
    </row>
    <row r="23" spans="1:18" ht="20.25" thickBot="1" x14ac:dyDescent="0.3">
      <c r="A23" s="842"/>
      <c r="B23" s="644"/>
      <c r="C23" s="673"/>
      <c r="D23" s="629"/>
      <c r="E23" s="633"/>
      <c r="F23" s="641" t="s">
        <v>8</v>
      </c>
      <c r="G23" s="211" t="s">
        <v>9</v>
      </c>
      <c r="H23" s="209">
        <f>H24+H28+H25+H26+H27</f>
        <v>13900504.49</v>
      </c>
      <c r="I23" s="736" t="s">
        <v>174</v>
      </c>
      <c r="J23" s="739">
        <v>0.72</v>
      </c>
      <c r="K23" s="753">
        <v>0.71</v>
      </c>
      <c r="L23" s="742">
        <v>0.97</v>
      </c>
      <c r="M23" s="742">
        <v>0.95</v>
      </c>
      <c r="N23" s="742">
        <v>0.94</v>
      </c>
    </row>
    <row r="24" spans="1:18" ht="19.5" x14ac:dyDescent="0.25">
      <c r="A24" s="842"/>
      <c r="B24" s="644"/>
      <c r="C24" s="673"/>
      <c r="D24" s="629"/>
      <c r="E24" s="633"/>
      <c r="F24" s="625"/>
      <c r="G24" s="169">
        <v>2024</v>
      </c>
      <c r="H24" s="210">
        <v>1781316.62</v>
      </c>
      <c r="I24" s="737"/>
      <c r="J24" s="740"/>
      <c r="K24" s="754"/>
      <c r="L24" s="743"/>
      <c r="M24" s="743"/>
      <c r="N24" s="743"/>
      <c r="Q24" s="157"/>
    </row>
    <row r="25" spans="1:18" ht="19.5" x14ac:dyDescent="0.25">
      <c r="A25" s="842"/>
      <c r="B25" s="644"/>
      <c r="C25" s="673"/>
      <c r="D25" s="629"/>
      <c r="E25" s="633"/>
      <c r="F25" s="626"/>
      <c r="G25" s="140">
        <v>2025</v>
      </c>
      <c r="H25" s="145">
        <v>2610850.4900000002</v>
      </c>
      <c r="I25" s="737"/>
      <c r="J25" s="740"/>
      <c r="K25" s="754"/>
      <c r="L25" s="743"/>
      <c r="M25" s="743"/>
      <c r="N25" s="743"/>
      <c r="Q25" s="157"/>
    </row>
    <row r="26" spans="1:18" ht="19.5" x14ac:dyDescent="0.25">
      <c r="A26" s="842"/>
      <c r="B26" s="644"/>
      <c r="C26" s="673"/>
      <c r="D26" s="629"/>
      <c r="E26" s="633"/>
      <c r="F26" s="626"/>
      <c r="G26" s="140">
        <v>2026</v>
      </c>
      <c r="H26" s="145">
        <v>2934595.95</v>
      </c>
      <c r="I26" s="737"/>
      <c r="J26" s="740"/>
      <c r="K26" s="754"/>
      <c r="L26" s="743"/>
      <c r="M26" s="743"/>
      <c r="N26" s="743"/>
      <c r="Q26" s="157"/>
    </row>
    <row r="27" spans="1:18" ht="19.5" x14ac:dyDescent="0.25">
      <c r="A27" s="842"/>
      <c r="B27" s="644"/>
      <c r="C27" s="673"/>
      <c r="D27" s="629"/>
      <c r="E27" s="633"/>
      <c r="F27" s="626"/>
      <c r="G27" s="140">
        <v>2027</v>
      </c>
      <c r="H27" s="145">
        <v>3163494.43</v>
      </c>
      <c r="I27" s="737"/>
      <c r="J27" s="740"/>
      <c r="K27" s="754"/>
      <c r="L27" s="743"/>
      <c r="M27" s="743"/>
      <c r="N27" s="743"/>
      <c r="Q27" s="157"/>
    </row>
    <row r="28" spans="1:18" ht="20.25" thickBot="1" x14ac:dyDescent="0.3">
      <c r="A28" s="842"/>
      <c r="B28" s="644"/>
      <c r="C28" s="673"/>
      <c r="D28" s="629"/>
      <c r="E28" s="633"/>
      <c r="F28" s="626"/>
      <c r="G28" s="140">
        <v>2028</v>
      </c>
      <c r="H28" s="144">
        <v>3410247</v>
      </c>
      <c r="I28" s="737"/>
      <c r="J28" s="740"/>
      <c r="K28" s="754"/>
      <c r="L28" s="743"/>
      <c r="M28" s="743"/>
      <c r="N28" s="743"/>
      <c r="Q28" s="157"/>
    </row>
    <row r="29" spans="1:18" ht="19.5" x14ac:dyDescent="0.25">
      <c r="A29" s="842"/>
      <c r="B29" s="644"/>
      <c r="C29" s="673"/>
      <c r="D29" s="629"/>
      <c r="E29" s="633"/>
      <c r="F29" s="624" t="s">
        <v>163</v>
      </c>
      <c r="G29" s="138" t="s">
        <v>9</v>
      </c>
      <c r="H29" s="142">
        <f>H30+H34+H31+H32+H33</f>
        <v>2694946.9</v>
      </c>
      <c r="I29" s="737"/>
      <c r="J29" s="740"/>
      <c r="K29" s="754"/>
      <c r="L29" s="743"/>
      <c r="M29" s="743"/>
      <c r="N29" s="743"/>
      <c r="Q29" s="227"/>
      <c r="R29" s="225"/>
    </row>
    <row r="30" spans="1:18" ht="19.5" x14ac:dyDescent="0.25">
      <c r="A30" s="842"/>
      <c r="B30" s="644"/>
      <c r="C30" s="673"/>
      <c r="D30" s="629"/>
      <c r="E30" s="633"/>
      <c r="F30" s="625"/>
      <c r="G30" s="139">
        <v>2024</v>
      </c>
      <c r="H30" s="143">
        <v>598646.92000000004</v>
      </c>
      <c r="I30" s="737"/>
      <c r="J30" s="740"/>
      <c r="K30" s="754"/>
      <c r="L30" s="743"/>
      <c r="M30" s="743"/>
      <c r="N30" s="743"/>
      <c r="Q30" s="227"/>
      <c r="R30" s="225"/>
    </row>
    <row r="31" spans="1:18" ht="19.5" x14ac:dyDescent="0.25">
      <c r="A31" s="842"/>
      <c r="B31" s="644"/>
      <c r="C31" s="673"/>
      <c r="D31" s="629"/>
      <c r="E31" s="633"/>
      <c r="F31" s="626"/>
      <c r="G31" s="140">
        <v>2025</v>
      </c>
      <c r="H31" s="143">
        <v>451608.3</v>
      </c>
      <c r="I31" s="737"/>
      <c r="J31" s="740"/>
      <c r="K31" s="754"/>
      <c r="L31" s="743"/>
      <c r="M31" s="743"/>
      <c r="N31" s="743"/>
      <c r="Q31" s="225"/>
      <c r="R31" s="225"/>
    </row>
    <row r="32" spans="1:18" ht="19.5" x14ac:dyDescent="0.25">
      <c r="A32" s="842"/>
      <c r="B32" s="644"/>
      <c r="C32" s="673"/>
      <c r="D32" s="629"/>
      <c r="E32" s="633"/>
      <c r="F32" s="626"/>
      <c r="G32" s="140">
        <v>2026</v>
      </c>
      <c r="H32" s="143">
        <v>507607.73</v>
      </c>
      <c r="I32" s="737"/>
      <c r="J32" s="740"/>
      <c r="K32" s="754"/>
      <c r="L32" s="743"/>
      <c r="M32" s="743"/>
      <c r="N32" s="743"/>
      <c r="Q32" s="225"/>
      <c r="R32" s="225"/>
    </row>
    <row r="33" spans="1:18" ht="19.5" x14ac:dyDescent="0.3">
      <c r="A33" s="842"/>
      <c r="B33" s="644"/>
      <c r="C33" s="673"/>
      <c r="D33" s="629"/>
      <c r="E33" s="633"/>
      <c r="F33" s="626"/>
      <c r="G33" s="140">
        <v>2027</v>
      </c>
      <c r="H33" s="143">
        <v>547201.13</v>
      </c>
      <c r="I33" s="737"/>
      <c r="J33" s="740"/>
      <c r="K33" s="754"/>
      <c r="L33" s="743"/>
      <c r="M33" s="743"/>
      <c r="N33" s="743"/>
      <c r="Q33" s="515"/>
      <c r="R33" s="225"/>
    </row>
    <row r="34" spans="1:18" ht="20.25" thickBot="1" x14ac:dyDescent="0.3">
      <c r="A34" s="842"/>
      <c r="B34" s="644"/>
      <c r="C34" s="674"/>
      <c r="D34" s="630"/>
      <c r="E34" s="634"/>
      <c r="F34" s="627"/>
      <c r="G34" s="141">
        <v>2028</v>
      </c>
      <c r="H34" s="144">
        <v>589882.81999999995</v>
      </c>
      <c r="I34" s="738"/>
      <c r="J34" s="741"/>
      <c r="K34" s="755"/>
      <c r="L34" s="744"/>
      <c r="M34" s="744"/>
      <c r="N34" s="744"/>
      <c r="Q34" s="225"/>
      <c r="R34" s="225"/>
    </row>
    <row r="35" spans="1:18" ht="27" thickBot="1" x14ac:dyDescent="0.3">
      <c r="A35" s="842"/>
      <c r="B35" s="644"/>
      <c r="C35" s="673" t="s">
        <v>239</v>
      </c>
      <c r="D35" s="629" t="s">
        <v>222</v>
      </c>
      <c r="E35" s="633" t="s">
        <v>59</v>
      </c>
      <c r="F35" s="635" t="s">
        <v>9</v>
      </c>
      <c r="G35" s="636"/>
      <c r="H35" s="209">
        <f>J35+K35+L35+M35+N35</f>
        <v>11950854.58</v>
      </c>
      <c r="I35" s="172" t="s">
        <v>62</v>
      </c>
      <c r="J35" s="281">
        <f>H42+H48</f>
        <v>1886065.51</v>
      </c>
      <c r="K35" s="336">
        <v>2168269.0099999998</v>
      </c>
      <c r="L35" s="180">
        <v>2437134.37</v>
      </c>
      <c r="M35" s="180">
        <v>2627230.84</v>
      </c>
      <c r="N35" s="180">
        <v>2832154.85</v>
      </c>
      <c r="Q35" s="226"/>
      <c r="R35" s="225"/>
    </row>
    <row r="36" spans="1:18" ht="19.149999999999999" customHeight="1" x14ac:dyDescent="0.25">
      <c r="A36" s="842"/>
      <c r="B36" s="644"/>
      <c r="C36" s="673"/>
      <c r="D36" s="629"/>
      <c r="E36" s="633"/>
      <c r="F36" s="637">
        <v>2024</v>
      </c>
      <c r="G36" s="760"/>
      <c r="H36" s="210">
        <f>H42+H48</f>
        <v>1886065.51</v>
      </c>
      <c r="I36" s="763" t="s">
        <v>172</v>
      </c>
      <c r="J36" s="765">
        <v>90</v>
      </c>
      <c r="K36" s="610">
        <v>87</v>
      </c>
      <c r="L36" s="768">
        <v>60</v>
      </c>
      <c r="M36" s="768">
        <v>59</v>
      </c>
      <c r="N36" s="768">
        <v>58</v>
      </c>
      <c r="Q36" s="225"/>
      <c r="R36" s="225"/>
    </row>
    <row r="37" spans="1:18" ht="30" customHeight="1" x14ac:dyDescent="0.25">
      <c r="A37" s="842"/>
      <c r="B37" s="644"/>
      <c r="C37" s="673"/>
      <c r="D37" s="629"/>
      <c r="E37" s="633"/>
      <c r="F37" s="770">
        <v>2025</v>
      </c>
      <c r="G37" s="771"/>
      <c r="H37" s="67">
        <f>H43+H49</f>
        <v>2168269.0099999998</v>
      </c>
      <c r="I37" s="763"/>
      <c r="J37" s="766"/>
      <c r="K37" s="601"/>
      <c r="L37" s="768"/>
      <c r="M37" s="768"/>
      <c r="N37" s="768"/>
      <c r="Q37" s="225"/>
      <c r="R37" s="225"/>
    </row>
    <row r="38" spans="1:18" ht="19.5" x14ac:dyDescent="0.25">
      <c r="A38" s="842"/>
      <c r="B38" s="644"/>
      <c r="C38" s="673"/>
      <c r="D38" s="629"/>
      <c r="E38" s="633"/>
      <c r="F38" s="637">
        <v>2026</v>
      </c>
      <c r="G38" s="760"/>
      <c r="H38" s="143">
        <f>L35</f>
        <v>2437134.37</v>
      </c>
      <c r="I38" s="763"/>
      <c r="J38" s="766"/>
      <c r="K38" s="601"/>
      <c r="L38" s="768"/>
      <c r="M38" s="768"/>
      <c r="N38" s="768"/>
      <c r="Q38" s="225"/>
      <c r="R38" s="225"/>
    </row>
    <row r="39" spans="1:18" ht="26.25" customHeight="1" x14ac:dyDescent="0.25">
      <c r="A39" s="842"/>
      <c r="B39" s="644"/>
      <c r="C39" s="673"/>
      <c r="D39" s="629"/>
      <c r="E39" s="633"/>
      <c r="F39" s="761">
        <v>2027</v>
      </c>
      <c r="G39" s="762"/>
      <c r="H39" s="143">
        <f>H45+H51</f>
        <v>2627230.84</v>
      </c>
      <c r="I39" s="764"/>
      <c r="J39" s="767"/>
      <c r="K39" s="601"/>
      <c r="L39" s="769"/>
      <c r="M39" s="769"/>
      <c r="N39" s="769"/>
      <c r="Q39" s="225"/>
      <c r="R39" s="225"/>
    </row>
    <row r="40" spans="1:18" ht="32.25" customHeight="1" thickBot="1" x14ac:dyDescent="0.3">
      <c r="A40" s="842"/>
      <c r="B40" s="644"/>
      <c r="C40" s="673"/>
      <c r="D40" s="629"/>
      <c r="E40" s="633"/>
      <c r="F40" s="639">
        <v>2028</v>
      </c>
      <c r="G40" s="779"/>
      <c r="H40" s="143">
        <f>N35</f>
        <v>2832154.85</v>
      </c>
      <c r="I40" s="282" t="s">
        <v>17</v>
      </c>
      <c r="J40" s="283">
        <f>J35/J36</f>
        <v>20956.283444444445</v>
      </c>
      <c r="K40" s="337">
        <f>K35/K36</f>
        <v>24922.632298850571</v>
      </c>
      <c r="L40" s="284">
        <f>L35/L36</f>
        <v>40618.906166666668</v>
      </c>
      <c r="M40" s="284">
        <f>M35/M36</f>
        <v>44529.336271186439</v>
      </c>
      <c r="N40" s="284">
        <f>N35/N36</f>
        <v>48830.256034482758</v>
      </c>
      <c r="Q40" s="225"/>
      <c r="R40" s="225"/>
    </row>
    <row r="41" spans="1:18" ht="19.5" x14ac:dyDescent="0.25">
      <c r="A41" s="842"/>
      <c r="B41" s="644"/>
      <c r="C41" s="673"/>
      <c r="D41" s="629"/>
      <c r="E41" s="633"/>
      <c r="F41" s="749" t="s">
        <v>8</v>
      </c>
      <c r="G41" s="218" t="s">
        <v>9</v>
      </c>
      <c r="H41" s="135">
        <f>H42+H46+H43+H44+H45</f>
        <v>5348895.26</v>
      </c>
      <c r="I41" s="736" t="s">
        <v>173</v>
      </c>
      <c r="J41" s="745">
        <v>0.86</v>
      </c>
      <c r="K41" s="581">
        <v>1</v>
      </c>
      <c r="L41" s="756">
        <v>0.97</v>
      </c>
      <c r="M41" s="747">
        <v>0.95</v>
      </c>
      <c r="N41" s="747">
        <v>0.94</v>
      </c>
      <c r="Q41" s="225"/>
      <c r="R41" s="225"/>
    </row>
    <row r="42" spans="1:18" ht="19.5" x14ac:dyDescent="0.25">
      <c r="A42" s="842"/>
      <c r="B42" s="644"/>
      <c r="C42" s="673"/>
      <c r="D42" s="629"/>
      <c r="E42" s="633"/>
      <c r="F42" s="750"/>
      <c r="G42" s="219">
        <v>2024</v>
      </c>
      <c r="H42" s="136">
        <v>878114.77</v>
      </c>
      <c r="I42" s="737"/>
      <c r="J42" s="746"/>
      <c r="K42" s="582"/>
      <c r="L42" s="757"/>
      <c r="M42" s="748"/>
      <c r="N42" s="748"/>
      <c r="Q42" s="225"/>
      <c r="R42" s="225"/>
    </row>
    <row r="43" spans="1:18" ht="19.5" x14ac:dyDescent="0.25">
      <c r="A43" s="842"/>
      <c r="B43" s="644"/>
      <c r="C43" s="673"/>
      <c r="D43" s="629"/>
      <c r="E43" s="633"/>
      <c r="F43" s="751"/>
      <c r="G43" s="220">
        <v>2025</v>
      </c>
      <c r="H43" s="137">
        <f>963145.35</f>
        <v>963145.35</v>
      </c>
      <c r="I43" s="737"/>
      <c r="J43" s="746"/>
      <c r="K43" s="582"/>
      <c r="L43" s="757"/>
      <c r="M43" s="748"/>
      <c r="N43" s="748"/>
      <c r="Q43" s="225"/>
      <c r="R43" s="225"/>
    </row>
    <row r="44" spans="1:18" ht="19.5" x14ac:dyDescent="0.25">
      <c r="A44" s="842"/>
      <c r="B44" s="644"/>
      <c r="C44" s="673"/>
      <c r="D44" s="629"/>
      <c r="E44" s="633"/>
      <c r="F44" s="751"/>
      <c r="G44" s="220">
        <v>2026</v>
      </c>
      <c r="H44" s="137">
        <v>1082575.3700000001</v>
      </c>
      <c r="I44" s="737"/>
      <c r="J44" s="746"/>
      <c r="K44" s="582"/>
      <c r="L44" s="757"/>
      <c r="M44" s="748"/>
      <c r="N44" s="748"/>
      <c r="Q44" s="225"/>
      <c r="R44" s="225"/>
    </row>
    <row r="45" spans="1:18" ht="19.5" x14ac:dyDescent="0.25">
      <c r="A45" s="842"/>
      <c r="B45" s="644"/>
      <c r="C45" s="673"/>
      <c r="D45" s="629"/>
      <c r="E45" s="633"/>
      <c r="F45" s="751"/>
      <c r="G45" s="220">
        <v>2027</v>
      </c>
      <c r="H45" s="137">
        <v>1167016.25</v>
      </c>
      <c r="I45" s="737"/>
      <c r="J45" s="746"/>
      <c r="K45" s="582"/>
      <c r="L45" s="757"/>
      <c r="M45" s="748"/>
      <c r="N45" s="748"/>
      <c r="Q45" s="225"/>
      <c r="R45" s="225"/>
    </row>
    <row r="46" spans="1:18" ht="20.25" thickBot="1" x14ac:dyDescent="0.3">
      <c r="A46" s="842"/>
      <c r="B46" s="644"/>
      <c r="C46" s="673"/>
      <c r="D46" s="629"/>
      <c r="E46" s="633"/>
      <c r="F46" s="751"/>
      <c r="G46" s="221">
        <v>2028</v>
      </c>
      <c r="H46" s="137">
        <v>1258043.52</v>
      </c>
      <c r="I46" s="737"/>
      <c r="J46" s="746"/>
      <c r="K46" s="582"/>
      <c r="L46" s="757"/>
      <c r="M46" s="748"/>
      <c r="N46" s="748"/>
      <c r="Q46" s="225"/>
      <c r="R46" s="225"/>
    </row>
    <row r="47" spans="1:18" ht="19.5" x14ac:dyDescent="0.25">
      <c r="A47" s="842"/>
      <c r="B47" s="644"/>
      <c r="C47" s="673"/>
      <c r="D47" s="629"/>
      <c r="E47" s="633"/>
      <c r="F47" s="749" t="s">
        <v>163</v>
      </c>
      <c r="G47" s="218" t="s">
        <v>9</v>
      </c>
      <c r="H47" s="135">
        <f>H48+H49+H50+H51+H52</f>
        <v>6601959.3159999996</v>
      </c>
      <c r="I47" s="737"/>
      <c r="J47" s="746"/>
      <c r="K47" s="582"/>
      <c r="L47" s="757"/>
      <c r="M47" s="748"/>
      <c r="N47" s="748"/>
      <c r="Q47" s="225"/>
      <c r="R47" s="225"/>
    </row>
    <row r="48" spans="1:18" ht="19.5" x14ac:dyDescent="0.25">
      <c r="A48" s="842"/>
      <c r="B48" s="644"/>
      <c r="C48" s="673"/>
      <c r="D48" s="629"/>
      <c r="E48" s="633"/>
      <c r="F48" s="750"/>
      <c r="G48" s="219">
        <v>2024</v>
      </c>
      <c r="H48" s="136">
        <v>1007950.74</v>
      </c>
      <c r="I48" s="737"/>
      <c r="J48" s="746"/>
      <c r="K48" s="582"/>
      <c r="L48" s="757"/>
      <c r="M48" s="748"/>
      <c r="N48" s="748"/>
      <c r="Q48" s="225"/>
      <c r="R48" s="225"/>
    </row>
    <row r="49" spans="1:18" ht="19.5" x14ac:dyDescent="0.25">
      <c r="A49" s="842"/>
      <c r="B49" s="644"/>
      <c r="C49" s="673"/>
      <c r="D49" s="629"/>
      <c r="E49" s="633"/>
      <c r="F49" s="751"/>
      <c r="G49" s="220">
        <v>2025</v>
      </c>
      <c r="H49" s="137">
        <f>1295351.39-90227.73</f>
        <v>1205123.6599999999</v>
      </c>
      <c r="I49" s="737"/>
      <c r="J49" s="746"/>
      <c r="K49" s="582"/>
      <c r="L49" s="757"/>
      <c r="M49" s="748"/>
      <c r="N49" s="748"/>
      <c r="Q49" s="225"/>
      <c r="R49" s="225"/>
    </row>
    <row r="50" spans="1:18" ht="19.5" x14ac:dyDescent="0.25">
      <c r="A50" s="842"/>
      <c r="B50" s="644"/>
      <c r="C50" s="673"/>
      <c r="D50" s="629"/>
      <c r="E50" s="633"/>
      <c r="F50" s="751"/>
      <c r="G50" s="220">
        <v>2026</v>
      </c>
      <c r="H50" s="137">
        <v>1354558.99</v>
      </c>
      <c r="I50" s="737"/>
      <c r="J50" s="746"/>
      <c r="K50" s="582"/>
      <c r="L50" s="757"/>
      <c r="M50" s="748"/>
      <c r="N50" s="748"/>
      <c r="Q50" s="225"/>
      <c r="R50" s="225"/>
    </row>
    <row r="51" spans="1:18" ht="19.5" x14ac:dyDescent="0.25">
      <c r="A51" s="842"/>
      <c r="B51" s="644"/>
      <c r="C51" s="673"/>
      <c r="D51" s="629"/>
      <c r="E51" s="633"/>
      <c r="F51" s="751"/>
      <c r="G51" s="220">
        <v>2027</v>
      </c>
      <c r="H51" s="137">
        <v>1460214.59</v>
      </c>
      <c r="I51" s="737"/>
      <c r="J51" s="746"/>
      <c r="K51" s="582"/>
      <c r="L51" s="757"/>
      <c r="M51" s="748"/>
      <c r="N51" s="748"/>
      <c r="Q51" s="225"/>
      <c r="R51" s="225"/>
    </row>
    <row r="52" spans="1:18" ht="20.25" thickBot="1" x14ac:dyDescent="0.3">
      <c r="A52" s="842"/>
      <c r="B52" s="621"/>
      <c r="C52" s="673"/>
      <c r="D52" s="629"/>
      <c r="E52" s="633"/>
      <c r="F52" s="752"/>
      <c r="G52" s="221">
        <v>2028</v>
      </c>
      <c r="H52" s="137">
        <v>1574111.3359999999</v>
      </c>
      <c r="I52" s="737"/>
      <c r="J52" s="746"/>
      <c r="K52" s="583"/>
      <c r="L52" s="757"/>
      <c r="M52" s="748"/>
      <c r="N52" s="748"/>
      <c r="Q52" s="225"/>
      <c r="R52" s="225"/>
    </row>
    <row r="53" spans="1:18" ht="30.75" customHeight="1" thickBot="1" x14ac:dyDescent="0.3">
      <c r="A53" s="842"/>
      <c r="B53" s="645" t="s">
        <v>267</v>
      </c>
      <c r="C53" s="796" t="s">
        <v>240</v>
      </c>
      <c r="D53" s="797" t="s">
        <v>7</v>
      </c>
      <c r="E53" s="790" t="s">
        <v>59</v>
      </c>
      <c r="F53" s="799" t="s">
        <v>8</v>
      </c>
      <c r="G53" s="367" t="s">
        <v>9</v>
      </c>
      <c r="H53" s="173">
        <f>J53+K53</f>
        <v>2156.58</v>
      </c>
      <c r="I53" s="368" t="s">
        <v>62</v>
      </c>
      <c r="J53" s="369">
        <v>1003.21</v>
      </c>
      <c r="K53" s="486">
        <v>1153.3699999999999</v>
      </c>
      <c r="L53" s="487"/>
      <c r="M53" s="370"/>
      <c r="N53" s="370"/>
      <c r="Q53" s="226"/>
      <c r="R53" s="225"/>
    </row>
    <row r="54" spans="1:18" ht="78.75" customHeight="1" x14ac:dyDescent="0.25">
      <c r="A54" s="842"/>
      <c r="B54" s="646"/>
      <c r="C54" s="786"/>
      <c r="D54" s="798"/>
      <c r="E54" s="791"/>
      <c r="F54" s="800"/>
      <c r="G54" s="371">
        <v>2024</v>
      </c>
      <c r="H54" s="521">
        <f>J53</f>
        <v>1003.21</v>
      </c>
      <c r="I54" s="517" t="s">
        <v>258</v>
      </c>
      <c r="J54" s="523">
        <v>1301</v>
      </c>
      <c r="K54" s="524">
        <v>1361</v>
      </c>
      <c r="L54" s="372"/>
      <c r="M54" s="372"/>
      <c r="N54" s="369"/>
      <c r="Q54" s="225"/>
      <c r="R54" s="225"/>
    </row>
    <row r="55" spans="1:18" ht="35.25" customHeight="1" x14ac:dyDescent="0.25">
      <c r="A55" s="842"/>
      <c r="B55" s="646"/>
      <c r="C55" s="786"/>
      <c r="D55" s="798"/>
      <c r="E55" s="791"/>
      <c r="F55" s="800"/>
      <c r="G55" s="373">
        <v>2025</v>
      </c>
      <c r="H55" s="522">
        <f>K53</f>
        <v>1153.3699999999999</v>
      </c>
      <c r="I55" s="374" t="s">
        <v>250</v>
      </c>
      <c r="J55" s="525">
        <v>0.77</v>
      </c>
      <c r="K55" s="146">
        <v>0.85</v>
      </c>
      <c r="L55" s="375"/>
      <c r="M55" s="375"/>
      <c r="N55" s="376"/>
      <c r="Q55" s="225"/>
      <c r="R55" s="225"/>
    </row>
    <row r="56" spans="1:18" ht="19.5" customHeight="1" x14ac:dyDescent="0.25">
      <c r="A56" s="842"/>
      <c r="B56" s="646"/>
      <c r="C56" s="786"/>
      <c r="D56" s="798"/>
      <c r="E56" s="791"/>
      <c r="F56" s="800"/>
      <c r="G56" s="373"/>
      <c r="H56" s="377"/>
      <c r="I56" s="801" t="s">
        <v>259</v>
      </c>
      <c r="J56" s="785">
        <v>1</v>
      </c>
      <c r="K56" s="753">
        <v>1</v>
      </c>
      <c r="L56" s="785"/>
      <c r="M56" s="753"/>
      <c r="N56" s="785"/>
      <c r="Q56" s="225"/>
      <c r="R56" s="225"/>
    </row>
    <row r="57" spans="1:18" ht="19.5" customHeight="1" x14ac:dyDescent="0.25">
      <c r="A57" s="842"/>
      <c r="B57" s="646"/>
      <c r="C57" s="786"/>
      <c r="D57" s="798"/>
      <c r="E57" s="791"/>
      <c r="F57" s="800"/>
      <c r="G57" s="373"/>
      <c r="H57" s="377"/>
      <c r="I57" s="802"/>
      <c r="J57" s="786"/>
      <c r="K57" s="754"/>
      <c r="L57" s="786"/>
      <c r="M57" s="754"/>
      <c r="N57" s="786"/>
      <c r="Q57" s="225"/>
      <c r="R57" s="225"/>
    </row>
    <row r="58" spans="1:18" ht="19.5" customHeight="1" thickBot="1" x14ac:dyDescent="0.3">
      <c r="A58" s="842"/>
      <c r="B58" s="646"/>
      <c r="C58" s="786"/>
      <c r="D58" s="798"/>
      <c r="E58" s="792"/>
      <c r="F58" s="800"/>
      <c r="G58" s="378"/>
      <c r="H58" s="377"/>
      <c r="I58" s="803"/>
      <c r="J58" s="787"/>
      <c r="K58" s="755"/>
      <c r="L58" s="787"/>
      <c r="M58" s="755"/>
      <c r="N58" s="787"/>
      <c r="Q58" s="225"/>
      <c r="R58" s="225"/>
    </row>
    <row r="59" spans="1:18" ht="39" customHeight="1" thickBot="1" x14ac:dyDescent="0.3">
      <c r="A59" s="842"/>
      <c r="B59" s="646"/>
      <c r="C59" s="655" t="s">
        <v>65</v>
      </c>
      <c r="D59" s="650" t="s">
        <v>222</v>
      </c>
      <c r="E59" s="804" t="s">
        <v>59</v>
      </c>
      <c r="F59" s="650" t="s">
        <v>8</v>
      </c>
      <c r="G59" s="74" t="s">
        <v>9</v>
      </c>
      <c r="H59" s="173">
        <f>H60+H61+H62+H63+H64</f>
        <v>173333.77299406522</v>
      </c>
      <c r="I59" s="206" t="s">
        <v>11</v>
      </c>
      <c r="J59" s="176">
        <v>30068.400000000001</v>
      </c>
      <c r="K59" s="176">
        <f>31749.35</f>
        <v>31749.35</v>
      </c>
      <c r="L59" s="14">
        <f>K59*110.4%</f>
        <v>35051.282400000004</v>
      </c>
      <c r="M59" s="176">
        <f>L59*105.95/100</f>
        <v>37136.833702800002</v>
      </c>
      <c r="N59" s="171">
        <f>M59*105.9%</f>
        <v>39327.906891265207</v>
      </c>
      <c r="Q59" s="62"/>
      <c r="R59" s="225"/>
    </row>
    <row r="60" spans="1:18" ht="51.75" x14ac:dyDescent="0.25">
      <c r="A60" s="842"/>
      <c r="B60" s="646"/>
      <c r="C60" s="656"/>
      <c r="D60" s="573"/>
      <c r="E60" s="805"/>
      <c r="F60" s="573"/>
      <c r="G60" s="198">
        <v>2024</v>
      </c>
      <c r="H60" s="285">
        <f>J59</f>
        <v>30068.400000000001</v>
      </c>
      <c r="I60" s="287" t="s">
        <v>48</v>
      </c>
      <c r="J60" s="342">
        <f>517880*1.139/1000</f>
        <v>589.86532</v>
      </c>
      <c r="K60" s="342">
        <f>647350*1.139*1.099/1000</f>
        <v>810.32748334999997</v>
      </c>
      <c r="L60" s="351">
        <f>647350*1.139*1.099/1000</f>
        <v>810.32748334999997</v>
      </c>
      <c r="M60" s="351">
        <f>647350*1.139*1.099/1000</f>
        <v>810.32748334999997</v>
      </c>
      <c r="N60" s="351">
        <f>647350*1.139*1.099/1000</f>
        <v>810.32748334999997</v>
      </c>
      <c r="Q60" s="225"/>
      <c r="R60" s="225"/>
    </row>
    <row r="61" spans="1:18" ht="51.75" x14ac:dyDescent="0.25">
      <c r="A61" s="842"/>
      <c r="B61" s="646"/>
      <c r="C61" s="656"/>
      <c r="D61" s="573"/>
      <c r="E61" s="805"/>
      <c r="F61" s="573"/>
      <c r="G61" s="199">
        <v>2025</v>
      </c>
      <c r="H61" s="191">
        <f>K59</f>
        <v>31749.35</v>
      </c>
      <c r="I61" s="288" t="s">
        <v>49</v>
      </c>
      <c r="J61" s="195">
        <f>J59-J60</f>
        <v>29478.534680000001</v>
      </c>
      <c r="K61" s="195">
        <f>K59-K60</f>
        <v>30939.022516649999</v>
      </c>
      <c r="L61" s="3">
        <f>L59-L60</f>
        <v>34240.954916650007</v>
      </c>
      <c r="M61" s="3">
        <f>M59-M60</f>
        <v>36326.506219450006</v>
      </c>
      <c r="N61" s="3">
        <f>N59-N60</f>
        <v>38517.579407915211</v>
      </c>
      <c r="Q61" s="225"/>
      <c r="R61" s="225"/>
    </row>
    <row r="62" spans="1:18" ht="39" x14ac:dyDescent="0.25">
      <c r="A62" s="842"/>
      <c r="B62" s="646"/>
      <c r="C62" s="656"/>
      <c r="D62" s="573"/>
      <c r="E62" s="805"/>
      <c r="F62" s="573"/>
      <c r="G62" s="199">
        <v>2026</v>
      </c>
      <c r="H62" s="229">
        <f>H61*110.4%</f>
        <v>35051.282400000004</v>
      </c>
      <c r="I62" s="288" t="s">
        <v>166</v>
      </c>
      <c r="J62" s="187"/>
      <c r="K62" s="187"/>
      <c r="L62" s="2"/>
      <c r="M62" s="2"/>
      <c r="N62" s="2"/>
      <c r="Q62" s="225"/>
      <c r="R62" s="225"/>
    </row>
    <row r="63" spans="1:18" ht="38.25" x14ac:dyDescent="0.25">
      <c r="A63" s="842"/>
      <c r="B63" s="646"/>
      <c r="C63" s="656"/>
      <c r="D63" s="573"/>
      <c r="E63" s="805"/>
      <c r="F63" s="573"/>
      <c r="G63" s="198">
        <v>2027</v>
      </c>
      <c r="H63" s="202">
        <f>M59</f>
        <v>37136.833702800002</v>
      </c>
      <c r="I63" s="426" t="s">
        <v>66</v>
      </c>
      <c r="J63" s="187">
        <v>8</v>
      </c>
      <c r="K63" s="187">
        <v>10</v>
      </c>
      <c r="L63" s="2">
        <v>9</v>
      </c>
      <c r="M63" s="2">
        <v>8</v>
      </c>
      <c r="N63" s="2">
        <v>8</v>
      </c>
      <c r="Q63" s="225"/>
      <c r="R63" s="225"/>
    </row>
    <row r="64" spans="1:18" ht="39" x14ac:dyDescent="0.25">
      <c r="A64" s="842"/>
      <c r="B64" s="646"/>
      <c r="C64" s="656"/>
      <c r="D64" s="573"/>
      <c r="E64" s="805"/>
      <c r="F64" s="573"/>
      <c r="G64" s="199">
        <v>2028</v>
      </c>
      <c r="H64" s="191">
        <f>N59</f>
        <v>39327.906891265207</v>
      </c>
      <c r="I64" s="288" t="s">
        <v>29</v>
      </c>
      <c r="J64" s="187">
        <v>440</v>
      </c>
      <c r="K64" s="187">
        <v>430</v>
      </c>
      <c r="L64" s="2">
        <v>400</v>
      </c>
      <c r="M64" s="2">
        <v>390</v>
      </c>
      <c r="N64" s="2">
        <v>350</v>
      </c>
      <c r="Q64" s="225"/>
      <c r="R64" s="225"/>
    </row>
    <row r="65" spans="1:18" ht="26.25" x14ac:dyDescent="0.25">
      <c r="A65" s="842"/>
      <c r="B65" s="646"/>
      <c r="C65" s="656"/>
      <c r="D65" s="573"/>
      <c r="E65" s="805"/>
      <c r="F65" s="573"/>
      <c r="G65" s="199"/>
      <c r="H65" s="191"/>
      <c r="I65" s="313" t="s">
        <v>162</v>
      </c>
      <c r="J65" s="326"/>
      <c r="K65" s="326"/>
      <c r="L65" s="125"/>
      <c r="M65" s="125"/>
      <c r="N65" s="125"/>
      <c r="Q65" s="225"/>
      <c r="R65" s="225"/>
    </row>
    <row r="66" spans="1:18" ht="39" x14ac:dyDescent="0.25">
      <c r="A66" s="842"/>
      <c r="B66" s="646"/>
      <c r="C66" s="656"/>
      <c r="D66" s="573"/>
      <c r="E66" s="805"/>
      <c r="F66" s="573"/>
      <c r="G66" s="199"/>
      <c r="H66" s="191"/>
      <c r="I66" s="289" t="s">
        <v>30</v>
      </c>
      <c r="J66" s="195">
        <f t="shared" ref="J66:N67" si="0">J60/J63</f>
        <v>73.733165</v>
      </c>
      <c r="K66" s="195">
        <f t="shared" si="0"/>
        <v>81.032748334999994</v>
      </c>
      <c r="L66" s="3">
        <f t="shared" si="0"/>
        <v>90.03638703888889</v>
      </c>
      <c r="M66" s="3">
        <f t="shared" si="0"/>
        <v>101.29093541875</v>
      </c>
      <c r="N66" s="3">
        <f t="shared" si="0"/>
        <v>101.29093541875</v>
      </c>
      <c r="Q66" s="225"/>
      <c r="R66" s="225"/>
    </row>
    <row r="67" spans="1:18" ht="51.75" x14ac:dyDescent="0.25">
      <c r="A67" s="842"/>
      <c r="B67" s="646"/>
      <c r="C67" s="656"/>
      <c r="D67" s="573"/>
      <c r="E67" s="805"/>
      <c r="F67" s="573"/>
      <c r="G67" s="199"/>
      <c r="H67" s="191"/>
      <c r="I67" s="289" t="s">
        <v>31</v>
      </c>
      <c r="J67" s="195">
        <f t="shared" si="0"/>
        <v>66.996669727272732</v>
      </c>
      <c r="K67" s="195">
        <f t="shared" si="0"/>
        <v>71.951215155</v>
      </c>
      <c r="L67" s="3">
        <f t="shared" si="0"/>
        <v>85.602387291625021</v>
      </c>
      <c r="M67" s="3">
        <f t="shared" si="0"/>
        <v>93.144887742179506</v>
      </c>
      <c r="N67" s="3">
        <f t="shared" si="0"/>
        <v>110.05022687975774</v>
      </c>
      <c r="Q67" s="225"/>
      <c r="R67" s="225"/>
    </row>
    <row r="68" spans="1:18" ht="42.75" customHeight="1" thickBot="1" x14ac:dyDescent="0.3">
      <c r="A68" s="842"/>
      <c r="B68" s="646"/>
      <c r="C68" s="664"/>
      <c r="D68" s="651"/>
      <c r="E68" s="806"/>
      <c r="F68" s="651"/>
      <c r="G68" s="205"/>
      <c r="H68" s="204"/>
      <c r="I68" s="289" t="s">
        <v>131</v>
      </c>
      <c r="J68" s="286">
        <v>1</v>
      </c>
      <c r="K68" s="158">
        <v>1</v>
      </c>
      <c r="L68" s="24">
        <v>1</v>
      </c>
      <c r="M68" s="24">
        <v>1</v>
      </c>
      <c r="N68" s="24">
        <v>1</v>
      </c>
      <c r="Q68" s="225"/>
      <c r="R68" s="225"/>
    </row>
    <row r="69" spans="1:18" ht="29.25" customHeight="1" thickBot="1" x14ac:dyDescent="0.3">
      <c r="A69" s="842"/>
      <c r="B69" s="646"/>
      <c r="C69" s="653" t="s">
        <v>241</v>
      </c>
      <c r="D69" s="650" t="s">
        <v>222</v>
      </c>
      <c r="E69" s="706" t="s">
        <v>59</v>
      </c>
      <c r="F69" s="660" t="s">
        <v>8</v>
      </c>
      <c r="G69" s="74" t="s">
        <v>9</v>
      </c>
      <c r="H69" s="197">
        <f>H70+H71+H72+H73+H74</f>
        <v>8039.8985600609612</v>
      </c>
      <c r="I69" s="174" t="s">
        <v>11</v>
      </c>
      <c r="J69" s="176">
        <v>1222.0899999999999</v>
      </c>
      <c r="K69" s="176">
        <f>1511.29</f>
        <v>1511.29</v>
      </c>
      <c r="L69" s="171">
        <f>1511.29*110.4%</f>
        <v>1668.46416</v>
      </c>
      <c r="M69" s="171">
        <f>L69*105.9%</f>
        <v>1766.9035454400002</v>
      </c>
      <c r="N69" s="171">
        <f>M69*105.9%</f>
        <v>1871.1508546209604</v>
      </c>
      <c r="Q69" s="62"/>
      <c r="R69" s="225"/>
    </row>
    <row r="70" spans="1:18" ht="77.25" x14ac:dyDescent="0.25">
      <c r="A70" s="842"/>
      <c r="B70" s="646"/>
      <c r="C70" s="654"/>
      <c r="D70" s="573"/>
      <c r="E70" s="574"/>
      <c r="F70" s="661"/>
      <c r="G70" s="198">
        <v>2024</v>
      </c>
      <c r="H70" s="202">
        <f>J69</f>
        <v>1222.0899999999999</v>
      </c>
      <c r="I70" s="207" t="s">
        <v>109</v>
      </c>
      <c r="J70" s="275">
        <v>44</v>
      </c>
      <c r="K70" s="275">
        <v>50</v>
      </c>
      <c r="L70" s="162">
        <v>54</v>
      </c>
      <c r="M70" s="162">
        <v>56</v>
      </c>
      <c r="N70" s="162">
        <v>59</v>
      </c>
      <c r="Q70" s="225"/>
      <c r="R70" s="225"/>
    </row>
    <row r="71" spans="1:18" ht="19.5" x14ac:dyDescent="0.25">
      <c r="A71" s="842"/>
      <c r="B71" s="646"/>
      <c r="C71" s="654"/>
      <c r="D71" s="573"/>
      <c r="E71" s="574"/>
      <c r="F71" s="661"/>
      <c r="G71" s="199">
        <v>2025</v>
      </c>
      <c r="H71" s="191">
        <f>K69</f>
        <v>1511.29</v>
      </c>
      <c r="I71" s="208" t="s">
        <v>52</v>
      </c>
      <c r="J71" s="187">
        <v>39</v>
      </c>
      <c r="K71" s="187">
        <v>42</v>
      </c>
      <c r="L71" s="2">
        <v>44</v>
      </c>
      <c r="M71" s="2">
        <v>45</v>
      </c>
      <c r="N71" s="2">
        <v>48</v>
      </c>
      <c r="Q71" s="225"/>
      <c r="R71" s="225"/>
    </row>
    <row r="72" spans="1:18" ht="19.5" x14ac:dyDescent="0.25">
      <c r="A72" s="842"/>
      <c r="B72" s="646"/>
      <c r="C72" s="654"/>
      <c r="D72" s="573"/>
      <c r="E72" s="574"/>
      <c r="F72" s="661"/>
      <c r="G72" s="199">
        <v>2026</v>
      </c>
      <c r="H72" s="203">
        <f>L69</f>
        <v>1668.46416</v>
      </c>
      <c r="I72" s="208" t="s">
        <v>53</v>
      </c>
      <c r="J72" s="187">
        <v>5</v>
      </c>
      <c r="K72" s="187">
        <v>8</v>
      </c>
      <c r="L72" s="2">
        <v>10</v>
      </c>
      <c r="M72" s="2">
        <v>11</v>
      </c>
      <c r="N72" s="2">
        <v>11</v>
      </c>
      <c r="Q72" s="225"/>
      <c r="R72" s="225"/>
    </row>
    <row r="73" spans="1:18" ht="26.25" x14ac:dyDescent="0.25">
      <c r="A73" s="842"/>
      <c r="B73" s="646"/>
      <c r="C73" s="654"/>
      <c r="D73" s="573"/>
      <c r="E73" s="574"/>
      <c r="F73" s="661"/>
      <c r="G73" s="198">
        <v>2027</v>
      </c>
      <c r="H73" s="191">
        <f>M69</f>
        <v>1766.9035454400002</v>
      </c>
      <c r="I73" s="208" t="s">
        <v>21</v>
      </c>
      <c r="J73" s="195">
        <f>J69/J70</f>
        <v>27.774772727272726</v>
      </c>
      <c r="K73" s="195">
        <f>K69/K70</f>
        <v>30.2258</v>
      </c>
      <c r="L73" s="3">
        <f>L69/L70</f>
        <v>30.897484444444444</v>
      </c>
      <c r="M73" s="3">
        <f>M69/M70</f>
        <v>31.55184902571429</v>
      </c>
      <c r="N73" s="3">
        <f>N69/N70</f>
        <v>31.714421264762041</v>
      </c>
      <c r="Q73" s="225"/>
      <c r="R73" s="225"/>
    </row>
    <row r="74" spans="1:18" ht="48.75" customHeight="1" thickBot="1" x14ac:dyDescent="0.3">
      <c r="A74" s="842"/>
      <c r="B74" s="646"/>
      <c r="C74" s="654"/>
      <c r="D74" s="651"/>
      <c r="E74" s="574"/>
      <c r="F74" s="662"/>
      <c r="G74" s="217">
        <v>2028</v>
      </c>
      <c r="H74" s="192">
        <f>N69</f>
        <v>1871.1508546209604</v>
      </c>
      <c r="I74" s="290" t="s">
        <v>165</v>
      </c>
      <c r="J74" s="286">
        <v>1</v>
      </c>
      <c r="K74" s="158">
        <v>1</v>
      </c>
      <c r="L74" s="24">
        <v>1</v>
      </c>
      <c r="M74" s="24">
        <v>1</v>
      </c>
      <c r="N74" s="24">
        <v>1</v>
      </c>
      <c r="Q74" s="225"/>
      <c r="R74" s="225"/>
    </row>
    <row r="75" spans="1:18" ht="32.25" customHeight="1" thickBot="1" x14ac:dyDescent="0.3">
      <c r="A75" s="842"/>
      <c r="B75" s="646"/>
      <c r="C75" s="675" t="s">
        <v>242</v>
      </c>
      <c r="D75" s="678" t="s">
        <v>7</v>
      </c>
      <c r="E75" s="681" t="s">
        <v>59</v>
      </c>
      <c r="F75" s="683" t="s">
        <v>8</v>
      </c>
      <c r="G75" s="379" t="s">
        <v>9</v>
      </c>
      <c r="H75" s="197">
        <f>J75+K75</f>
        <v>20150.55</v>
      </c>
      <c r="I75" s="513" t="s">
        <v>11</v>
      </c>
      <c r="J75" s="14">
        <v>9151.3799999999992</v>
      </c>
      <c r="K75" s="176">
        <v>10999.17</v>
      </c>
      <c r="L75" s="171"/>
      <c r="M75" s="171"/>
      <c r="N75" s="171"/>
      <c r="Q75" s="62"/>
      <c r="R75" s="225"/>
    </row>
    <row r="76" spans="1:18" ht="34.5" customHeight="1" x14ac:dyDescent="0.25">
      <c r="A76" s="842"/>
      <c r="B76" s="646"/>
      <c r="C76" s="676"/>
      <c r="D76" s="679"/>
      <c r="E76" s="682"/>
      <c r="F76" s="684"/>
      <c r="G76" s="380">
        <v>2024</v>
      </c>
      <c r="H76" s="213">
        <f>J75</f>
        <v>9151.3799999999992</v>
      </c>
      <c r="I76" s="686" t="s">
        <v>230</v>
      </c>
      <c r="J76" s="689">
        <v>20772</v>
      </c>
      <c r="K76" s="691">
        <v>22779</v>
      </c>
      <c r="L76" s="582"/>
      <c r="M76" s="582"/>
      <c r="N76" s="582"/>
      <c r="Q76" s="225"/>
      <c r="R76" s="225"/>
    </row>
    <row r="77" spans="1:18" ht="19.5" customHeight="1" x14ac:dyDescent="0.25">
      <c r="A77" s="842"/>
      <c r="B77" s="646"/>
      <c r="C77" s="676"/>
      <c r="D77" s="679"/>
      <c r="E77" s="682"/>
      <c r="F77" s="684"/>
      <c r="G77" s="813">
        <v>2025</v>
      </c>
      <c r="H77" s="815">
        <f>K75</f>
        <v>10999.17</v>
      </c>
      <c r="I77" s="687"/>
      <c r="J77" s="690"/>
      <c r="K77" s="691"/>
      <c r="L77" s="582"/>
      <c r="M77" s="582"/>
      <c r="N77" s="582"/>
      <c r="Q77" s="225"/>
      <c r="R77" s="225"/>
    </row>
    <row r="78" spans="1:18" ht="11.25" customHeight="1" thickBot="1" x14ac:dyDescent="0.3">
      <c r="A78" s="842"/>
      <c r="B78" s="646"/>
      <c r="C78" s="676"/>
      <c r="D78" s="679"/>
      <c r="E78" s="682"/>
      <c r="F78" s="684"/>
      <c r="G78" s="814"/>
      <c r="H78" s="816"/>
      <c r="I78" s="688"/>
      <c r="J78" s="690"/>
      <c r="K78" s="691"/>
      <c r="L78" s="668"/>
      <c r="M78" s="668"/>
      <c r="N78" s="668"/>
      <c r="Q78" s="225"/>
      <c r="R78" s="225"/>
    </row>
    <row r="79" spans="1:18" ht="34.5" customHeight="1" x14ac:dyDescent="0.25">
      <c r="A79" s="842"/>
      <c r="B79" s="646"/>
      <c r="C79" s="676"/>
      <c r="D79" s="679"/>
      <c r="E79" s="682"/>
      <c r="F79" s="684"/>
      <c r="G79" s="381"/>
      <c r="H79" s="214"/>
      <c r="I79" s="404" t="s">
        <v>214</v>
      </c>
      <c r="J79" s="305">
        <v>0.44</v>
      </c>
      <c r="K79" s="444">
        <v>0.48</v>
      </c>
      <c r="L79" s="382"/>
      <c r="M79" s="383"/>
      <c r="N79" s="383"/>
      <c r="Q79" s="225"/>
      <c r="R79" s="225"/>
    </row>
    <row r="80" spans="1:18" ht="42" customHeight="1" thickBot="1" x14ac:dyDescent="0.3">
      <c r="A80" s="842"/>
      <c r="B80" s="646"/>
      <c r="C80" s="677"/>
      <c r="D80" s="680"/>
      <c r="E80" s="682"/>
      <c r="F80" s="685"/>
      <c r="G80" s="373"/>
      <c r="H80" s="215"/>
      <c r="I80" s="407" t="s">
        <v>165</v>
      </c>
      <c r="J80" s="354">
        <v>1</v>
      </c>
      <c r="K80" s="488">
        <v>1</v>
      </c>
      <c r="L80" s="448"/>
      <c r="M80" s="353"/>
      <c r="N80" s="353"/>
      <c r="Q80" s="225"/>
      <c r="R80" s="225"/>
    </row>
    <row r="81" spans="1:18" ht="35.25" customHeight="1" thickBot="1" x14ac:dyDescent="0.3">
      <c r="A81" s="842"/>
      <c r="B81" s="646"/>
      <c r="C81" s="654" t="s">
        <v>61</v>
      </c>
      <c r="D81" s="650" t="s">
        <v>222</v>
      </c>
      <c r="E81" s="665" t="s">
        <v>59</v>
      </c>
      <c r="F81" s="650" t="s">
        <v>8</v>
      </c>
      <c r="G81" s="74" t="s">
        <v>9</v>
      </c>
      <c r="H81" s="197">
        <f>J81+K81+L81+M81+N81</f>
        <v>247266.01326887013</v>
      </c>
      <c r="I81" s="514" t="s">
        <v>11</v>
      </c>
      <c r="J81" s="14">
        <v>38911.99</v>
      </c>
      <c r="K81" s="14">
        <f>46185.42</f>
        <v>46185.42</v>
      </c>
      <c r="L81" s="171">
        <f>46185.42*110.4%</f>
        <v>50988.703679999999</v>
      </c>
      <c r="M81" s="171">
        <f>L81*105.9%</f>
        <v>53997.037197120007</v>
      </c>
      <c r="N81" s="171">
        <f>M81*105.9%</f>
        <v>57182.862391750095</v>
      </c>
      <c r="Q81" s="62"/>
      <c r="R81" s="225"/>
    </row>
    <row r="82" spans="1:18" ht="77.25" x14ac:dyDescent="0.25">
      <c r="A82" s="842"/>
      <c r="B82" s="646"/>
      <c r="C82" s="654"/>
      <c r="D82" s="573"/>
      <c r="E82" s="666"/>
      <c r="F82" s="573"/>
      <c r="G82" s="189">
        <v>2024</v>
      </c>
      <c r="H82" s="202">
        <f>J81</f>
        <v>38911.99</v>
      </c>
      <c r="I82" s="207" t="s">
        <v>110</v>
      </c>
      <c r="J82" s="165">
        <v>325</v>
      </c>
      <c r="K82" s="275">
        <v>351</v>
      </c>
      <c r="L82" s="162">
        <v>351</v>
      </c>
      <c r="M82" s="162">
        <v>351</v>
      </c>
      <c r="N82" s="162">
        <v>351</v>
      </c>
      <c r="Q82" s="225"/>
      <c r="R82" s="225"/>
    </row>
    <row r="83" spans="1:18" ht="21" customHeight="1" x14ac:dyDescent="0.25">
      <c r="A83" s="842"/>
      <c r="B83" s="646"/>
      <c r="C83" s="654"/>
      <c r="D83" s="573"/>
      <c r="E83" s="666"/>
      <c r="F83" s="573"/>
      <c r="G83" s="199">
        <v>2025</v>
      </c>
      <c r="H83" s="191">
        <f>K81</f>
        <v>46185.42</v>
      </c>
      <c r="I83" s="208" t="s">
        <v>52</v>
      </c>
      <c r="J83" s="186">
        <v>258</v>
      </c>
      <c r="K83" s="187">
        <v>280</v>
      </c>
      <c r="L83" s="2">
        <v>280</v>
      </c>
      <c r="M83" s="2">
        <v>280</v>
      </c>
      <c r="N83" s="2">
        <v>280</v>
      </c>
      <c r="Q83" s="225"/>
      <c r="R83" s="225"/>
    </row>
    <row r="84" spans="1:18" ht="19.5" x14ac:dyDescent="0.25">
      <c r="A84" s="842"/>
      <c r="B84" s="646"/>
      <c r="C84" s="654"/>
      <c r="D84" s="573"/>
      <c r="E84" s="666"/>
      <c r="F84" s="573"/>
      <c r="G84" s="199">
        <v>2026</v>
      </c>
      <c r="H84" s="191">
        <f>L81</f>
        <v>50988.703679999999</v>
      </c>
      <c r="I84" s="208" t="s">
        <v>53</v>
      </c>
      <c r="J84" s="186">
        <f>J82-J83</f>
        <v>67</v>
      </c>
      <c r="K84" s="187">
        <f>K82-K83</f>
        <v>71</v>
      </c>
      <c r="L84" s="2">
        <f>L82-L83</f>
        <v>71</v>
      </c>
      <c r="M84" s="2">
        <f>M82-M83</f>
        <v>71</v>
      </c>
      <c r="N84" s="2">
        <f>N82-N83</f>
        <v>71</v>
      </c>
      <c r="Q84" s="225"/>
      <c r="R84" s="225"/>
    </row>
    <row r="85" spans="1:18" ht="26.25" x14ac:dyDescent="0.25">
      <c r="A85" s="842"/>
      <c r="B85" s="646"/>
      <c r="C85" s="654"/>
      <c r="D85" s="573"/>
      <c r="E85" s="666"/>
      <c r="F85" s="573"/>
      <c r="G85" s="198">
        <v>2027</v>
      </c>
      <c r="H85" s="191">
        <f>M81</f>
        <v>53997.037197120007</v>
      </c>
      <c r="I85" s="208" t="s">
        <v>21</v>
      </c>
      <c r="J85" s="196">
        <f>J81/J82</f>
        <v>119.72919999999999</v>
      </c>
      <c r="K85" s="195">
        <f>K81/K82</f>
        <v>131.58239316239315</v>
      </c>
      <c r="L85" s="3">
        <f>L81/L82</f>
        <v>145.26696205128204</v>
      </c>
      <c r="M85" s="3">
        <f>M81/M82</f>
        <v>153.8377128123077</v>
      </c>
      <c r="N85" s="3">
        <f>N81/N82</f>
        <v>162.91413786823389</v>
      </c>
      <c r="Q85" s="225"/>
      <c r="R85" s="225"/>
    </row>
    <row r="86" spans="1:18" ht="45" customHeight="1" thickBot="1" x14ac:dyDescent="0.3">
      <c r="A86" s="842"/>
      <c r="B86" s="646"/>
      <c r="C86" s="654"/>
      <c r="D86" s="651"/>
      <c r="E86" s="667"/>
      <c r="F86" s="651"/>
      <c r="G86" s="205">
        <v>2028</v>
      </c>
      <c r="H86" s="204">
        <f>N81</f>
        <v>57182.862391750095</v>
      </c>
      <c r="I86" s="427" t="s">
        <v>131</v>
      </c>
      <c r="J86" s="155">
        <v>1</v>
      </c>
      <c r="K86" s="291">
        <v>1</v>
      </c>
      <c r="L86" s="39">
        <v>1</v>
      </c>
      <c r="M86" s="39">
        <v>1</v>
      </c>
      <c r="N86" s="39">
        <v>1</v>
      </c>
      <c r="Q86" s="225"/>
      <c r="R86" s="225"/>
    </row>
    <row r="87" spans="1:18" ht="28.5" customHeight="1" thickBot="1" x14ac:dyDescent="0.3">
      <c r="A87" s="842"/>
      <c r="B87" s="646"/>
      <c r="C87" s="653" t="s">
        <v>69</v>
      </c>
      <c r="D87" s="650" t="s">
        <v>222</v>
      </c>
      <c r="E87" s="650" t="s">
        <v>59</v>
      </c>
      <c r="F87" s="660" t="s">
        <v>8</v>
      </c>
      <c r="G87" s="74" t="s">
        <v>9</v>
      </c>
      <c r="H87" s="197">
        <f>H88+H89+H90+H91+H92</f>
        <v>231895.06179083476</v>
      </c>
      <c r="I87" s="174" t="s">
        <v>11</v>
      </c>
      <c r="J87" s="14">
        <v>35504.379999999997</v>
      </c>
      <c r="K87" s="176">
        <f>43533.53</f>
        <v>43533.53</v>
      </c>
      <c r="L87" s="171">
        <f>43533.53*110.4%</f>
        <v>48061.017120000004</v>
      </c>
      <c r="M87" s="171">
        <f>L87*105.9%</f>
        <v>50896.617130080012</v>
      </c>
      <c r="N87" s="171">
        <f>M87*105.9%</f>
        <v>53899.517540754743</v>
      </c>
      <c r="Q87" s="62"/>
      <c r="R87" s="225"/>
    </row>
    <row r="88" spans="1:18" ht="51.75" x14ac:dyDescent="0.25">
      <c r="A88" s="842"/>
      <c r="B88" s="646"/>
      <c r="C88" s="654"/>
      <c r="D88" s="573"/>
      <c r="E88" s="573"/>
      <c r="F88" s="661"/>
      <c r="G88" s="189">
        <v>2024</v>
      </c>
      <c r="H88" s="202">
        <f>J87</f>
        <v>35504.379999999997</v>
      </c>
      <c r="I88" s="295" t="s">
        <v>141</v>
      </c>
      <c r="J88" s="165">
        <v>18</v>
      </c>
      <c r="K88" s="275">
        <v>21</v>
      </c>
      <c r="L88" s="162">
        <v>22</v>
      </c>
      <c r="M88" s="162">
        <v>23</v>
      </c>
      <c r="N88" s="162">
        <v>24</v>
      </c>
      <c r="Q88" s="225"/>
      <c r="R88" s="225"/>
    </row>
    <row r="89" spans="1:18" ht="27" customHeight="1" x14ac:dyDescent="0.25">
      <c r="A89" s="842"/>
      <c r="B89" s="646"/>
      <c r="C89" s="654"/>
      <c r="D89" s="573"/>
      <c r="E89" s="573"/>
      <c r="F89" s="661"/>
      <c r="G89" s="199">
        <v>2025</v>
      </c>
      <c r="H89" s="191">
        <f>K87</f>
        <v>43533.53</v>
      </c>
      <c r="I89" s="616" t="s">
        <v>21</v>
      </c>
      <c r="J89" s="599">
        <f>J87/J88</f>
        <v>1972.4655555555555</v>
      </c>
      <c r="K89" s="597">
        <f>K87/K88</f>
        <v>2073.0252380952379</v>
      </c>
      <c r="L89" s="599">
        <f>L87/L88</f>
        <v>2184.5916872727275</v>
      </c>
      <c r="M89" s="599">
        <f>M87/M88</f>
        <v>2212.8963969600004</v>
      </c>
      <c r="N89" s="599">
        <f>N87/N88</f>
        <v>2245.813230864781</v>
      </c>
      <c r="Q89" s="225"/>
      <c r="R89" s="225"/>
    </row>
    <row r="90" spans="1:18" ht="24" customHeight="1" x14ac:dyDescent="0.25">
      <c r="A90" s="842"/>
      <c r="B90" s="646"/>
      <c r="C90" s="654"/>
      <c r="D90" s="573"/>
      <c r="E90" s="573"/>
      <c r="F90" s="662"/>
      <c r="G90" s="199">
        <v>2026</v>
      </c>
      <c r="H90" s="192">
        <f>L87</f>
        <v>48061.017120000004</v>
      </c>
      <c r="I90" s="619"/>
      <c r="J90" s="600"/>
      <c r="K90" s="598"/>
      <c r="L90" s="600"/>
      <c r="M90" s="600"/>
      <c r="N90" s="600"/>
      <c r="Q90" s="225"/>
      <c r="R90" s="225"/>
    </row>
    <row r="91" spans="1:18" ht="22.15" customHeight="1" x14ac:dyDescent="0.25">
      <c r="A91" s="842"/>
      <c r="B91" s="646"/>
      <c r="C91" s="654"/>
      <c r="D91" s="573"/>
      <c r="E91" s="573"/>
      <c r="F91" s="662"/>
      <c r="G91" s="198">
        <v>2027</v>
      </c>
      <c r="H91" s="192">
        <f>M87</f>
        <v>50896.617130080012</v>
      </c>
      <c r="I91" s="616" t="s">
        <v>131</v>
      </c>
      <c r="J91" s="581">
        <v>1</v>
      </c>
      <c r="K91" s="584">
        <v>1</v>
      </c>
      <c r="L91" s="581">
        <v>1</v>
      </c>
      <c r="M91" s="581">
        <v>1</v>
      </c>
      <c r="N91" s="581">
        <v>1</v>
      </c>
      <c r="Q91" s="225"/>
      <c r="R91" s="225"/>
    </row>
    <row r="92" spans="1:18" ht="25.15" customHeight="1" thickBot="1" x14ac:dyDescent="0.3">
      <c r="A92" s="842"/>
      <c r="B92" s="646"/>
      <c r="C92" s="654"/>
      <c r="D92" s="651"/>
      <c r="E92" s="651"/>
      <c r="F92" s="663"/>
      <c r="G92" s="205">
        <v>2028</v>
      </c>
      <c r="H92" s="193">
        <f>N87</f>
        <v>53899.517540754743</v>
      </c>
      <c r="I92" s="617"/>
      <c r="J92" s="583"/>
      <c r="K92" s="589"/>
      <c r="L92" s="583"/>
      <c r="M92" s="583"/>
      <c r="N92" s="583"/>
      <c r="Q92" s="225"/>
      <c r="R92" s="225"/>
    </row>
    <row r="93" spans="1:18" ht="27" thickBot="1" x14ac:dyDescent="0.3">
      <c r="A93" s="842"/>
      <c r="B93" s="646"/>
      <c r="C93" s="655" t="s">
        <v>32</v>
      </c>
      <c r="D93" s="650" t="s">
        <v>222</v>
      </c>
      <c r="E93" s="650" t="s">
        <v>59</v>
      </c>
      <c r="F93" s="650" t="s">
        <v>8</v>
      </c>
      <c r="G93" s="74" t="s">
        <v>9</v>
      </c>
      <c r="H93" s="197">
        <f>H94+H95+H96+H97+H98</f>
        <v>271482.9637116919</v>
      </c>
      <c r="I93" s="174" t="s">
        <v>11</v>
      </c>
      <c r="J93" s="14">
        <v>45538.49</v>
      </c>
      <c r="K93" s="176">
        <f>50084.66</f>
        <v>50084.66</v>
      </c>
      <c r="L93" s="171">
        <f>50084.66*110.4%</f>
        <v>55293.464640000006</v>
      </c>
      <c r="M93" s="171">
        <f>L93*105.9%</f>
        <v>58555.779053760016</v>
      </c>
      <c r="N93" s="171">
        <f>M93*105.9%</f>
        <v>62010.570017931866</v>
      </c>
      <c r="Q93" s="62"/>
      <c r="R93" s="225"/>
    </row>
    <row r="94" spans="1:18" ht="51.75" x14ac:dyDescent="0.25">
      <c r="A94" s="842"/>
      <c r="B94" s="646"/>
      <c r="C94" s="656"/>
      <c r="D94" s="573"/>
      <c r="E94" s="573"/>
      <c r="F94" s="573"/>
      <c r="G94" s="198">
        <v>2024</v>
      </c>
      <c r="H94" s="202">
        <f>J93</f>
        <v>45538.49</v>
      </c>
      <c r="I94" s="295" t="s">
        <v>142</v>
      </c>
      <c r="J94" s="165">
        <v>74</v>
      </c>
      <c r="K94" s="275">
        <v>74</v>
      </c>
      <c r="L94" s="162">
        <v>74</v>
      </c>
      <c r="M94" s="162">
        <v>74</v>
      </c>
      <c r="N94" s="162">
        <v>74</v>
      </c>
      <c r="Q94" s="225"/>
      <c r="R94" s="225"/>
    </row>
    <row r="95" spans="1:18" ht="19.5" x14ac:dyDescent="0.25">
      <c r="A95" s="842"/>
      <c r="B95" s="646"/>
      <c r="C95" s="656"/>
      <c r="D95" s="573"/>
      <c r="E95" s="573"/>
      <c r="F95" s="573"/>
      <c r="G95" s="199">
        <v>2025</v>
      </c>
      <c r="H95" s="191">
        <f>K93</f>
        <v>50084.66</v>
      </c>
      <c r="I95" s="288" t="s">
        <v>15</v>
      </c>
      <c r="J95" s="186">
        <v>56</v>
      </c>
      <c r="K95" s="187">
        <v>56</v>
      </c>
      <c r="L95" s="2">
        <v>56</v>
      </c>
      <c r="M95" s="2">
        <v>56</v>
      </c>
      <c r="N95" s="2">
        <v>56</v>
      </c>
      <c r="Q95" s="225"/>
      <c r="R95" s="225"/>
    </row>
    <row r="96" spans="1:18" ht="19.5" x14ac:dyDescent="0.25">
      <c r="A96" s="842"/>
      <c r="B96" s="646"/>
      <c r="C96" s="656"/>
      <c r="D96" s="573"/>
      <c r="E96" s="573"/>
      <c r="F96" s="573"/>
      <c r="G96" s="199">
        <v>2026</v>
      </c>
      <c r="H96" s="229">
        <f>L93</f>
        <v>55293.464640000006</v>
      </c>
      <c r="I96" s="288" t="s">
        <v>16</v>
      </c>
      <c r="J96" s="186">
        <f>J94-J95</f>
        <v>18</v>
      </c>
      <c r="K96" s="187">
        <v>18</v>
      </c>
      <c r="L96" s="2">
        <v>18</v>
      </c>
      <c r="M96" s="2">
        <v>18</v>
      </c>
      <c r="N96" s="2">
        <v>18</v>
      </c>
      <c r="Q96" s="225"/>
      <c r="R96" s="225"/>
    </row>
    <row r="97" spans="1:18" ht="26.25" x14ac:dyDescent="0.25">
      <c r="A97" s="842"/>
      <c r="B97" s="646"/>
      <c r="C97" s="656"/>
      <c r="D97" s="573"/>
      <c r="E97" s="573"/>
      <c r="F97" s="573"/>
      <c r="G97" s="198">
        <v>2027</v>
      </c>
      <c r="H97" s="191">
        <f>M93</f>
        <v>58555.779053760016</v>
      </c>
      <c r="I97" s="288" t="s">
        <v>21</v>
      </c>
      <c r="J97" s="196">
        <f>J93/J94</f>
        <v>615.38499999999999</v>
      </c>
      <c r="K97" s="195">
        <f>K93/K94</f>
        <v>676.81972972972983</v>
      </c>
      <c r="L97" s="3">
        <f>L93/L94</f>
        <v>747.20898162162166</v>
      </c>
      <c r="M97" s="3">
        <f>M93/M94</f>
        <v>791.29431153729752</v>
      </c>
      <c r="N97" s="3">
        <f>N93/N94</f>
        <v>837.98067591799816</v>
      </c>
      <c r="Q97" s="225"/>
      <c r="R97" s="225"/>
    </row>
    <row r="98" spans="1:18" ht="39.75" customHeight="1" thickBot="1" x14ac:dyDescent="0.3">
      <c r="A98" s="842"/>
      <c r="B98" s="646"/>
      <c r="C98" s="664"/>
      <c r="D98" s="651"/>
      <c r="E98" s="651"/>
      <c r="F98" s="651"/>
      <c r="G98" s="205">
        <v>2028</v>
      </c>
      <c r="H98" s="204">
        <f>N93</f>
        <v>62010.570017931866</v>
      </c>
      <c r="I98" s="288" t="s">
        <v>131</v>
      </c>
      <c r="J98" s="296">
        <v>1</v>
      </c>
      <c r="K98" s="291">
        <v>1</v>
      </c>
      <c r="L98" s="39">
        <v>1</v>
      </c>
      <c r="M98" s="39">
        <v>1</v>
      </c>
      <c r="N98" s="39">
        <v>1</v>
      </c>
      <c r="Q98" s="225"/>
      <c r="R98" s="225"/>
    </row>
    <row r="99" spans="1:18" ht="27" thickBot="1" x14ac:dyDescent="0.3">
      <c r="A99" s="842"/>
      <c r="B99" s="646"/>
      <c r="C99" s="653" t="s">
        <v>33</v>
      </c>
      <c r="D99" s="650" t="s">
        <v>222</v>
      </c>
      <c r="E99" s="650" t="s">
        <v>59</v>
      </c>
      <c r="F99" s="666" t="s">
        <v>8</v>
      </c>
      <c r="G99" s="74" t="s">
        <v>9</v>
      </c>
      <c r="H99" s="197">
        <f>H100+H101+H102+H103+H104</f>
        <v>29595.320959489447</v>
      </c>
      <c r="I99" s="174" t="s">
        <v>11</v>
      </c>
      <c r="J99" s="14">
        <v>4937.68</v>
      </c>
      <c r="K99" s="176">
        <f>5465.81</f>
        <v>5465.81</v>
      </c>
      <c r="L99" s="171">
        <f>5465.81*110.4%</f>
        <v>6034.2542400000011</v>
      </c>
      <c r="M99" s="171">
        <f>L99*105.9%</f>
        <v>6390.2752401600019</v>
      </c>
      <c r="N99" s="171">
        <f>M99*105.9%</f>
        <v>6767.3014793294433</v>
      </c>
      <c r="Q99" s="62"/>
      <c r="R99" s="225"/>
    </row>
    <row r="100" spans="1:18" ht="39" x14ac:dyDescent="0.25">
      <c r="A100" s="842"/>
      <c r="B100" s="646"/>
      <c r="C100" s="654"/>
      <c r="D100" s="573"/>
      <c r="E100" s="573"/>
      <c r="F100" s="666"/>
      <c r="G100" s="198">
        <v>2024</v>
      </c>
      <c r="H100" s="202">
        <f>J99</f>
        <v>4937.68</v>
      </c>
      <c r="I100" s="287" t="s">
        <v>70</v>
      </c>
      <c r="J100" s="165">
        <v>74</v>
      </c>
      <c r="K100" s="275">
        <v>74</v>
      </c>
      <c r="L100" s="162">
        <v>74</v>
      </c>
      <c r="M100" s="162">
        <v>74</v>
      </c>
      <c r="N100" s="162">
        <v>74</v>
      </c>
      <c r="Q100" s="225"/>
      <c r="R100" s="225"/>
    </row>
    <row r="101" spans="1:18" ht="19.5" x14ac:dyDescent="0.25">
      <c r="A101" s="842"/>
      <c r="B101" s="646"/>
      <c r="C101" s="654"/>
      <c r="D101" s="573"/>
      <c r="E101" s="573"/>
      <c r="F101" s="666"/>
      <c r="G101" s="199">
        <v>2025</v>
      </c>
      <c r="H101" s="191">
        <f>K99</f>
        <v>5465.81</v>
      </c>
      <c r="I101" s="288" t="s">
        <v>15</v>
      </c>
      <c r="J101" s="186">
        <v>56</v>
      </c>
      <c r="K101" s="187">
        <v>56</v>
      </c>
      <c r="L101" s="2">
        <v>56</v>
      </c>
      <c r="M101" s="2">
        <v>56</v>
      </c>
      <c r="N101" s="2">
        <v>56</v>
      </c>
      <c r="Q101" s="225"/>
      <c r="R101" s="225"/>
    </row>
    <row r="102" spans="1:18" ht="19.5" x14ac:dyDescent="0.25">
      <c r="A102" s="842"/>
      <c r="B102" s="646"/>
      <c r="C102" s="654"/>
      <c r="D102" s="573"/>
      <c r="E102" s="573"/>
      <c r="F102" s="666"/>
      <c r="G102" s="199">
        <v>2026</v>
      </c>
      <c r="H102" s="203">
        <f>L99</f>
        <v>6034.2542400000011</v>
      </c>
      <c r="I102" s="288" t="s">
        <v>16</v>
      </c>
      <c r="J102" s="186">
        <f>J100-J101</f>
        <v>18</v>
      </c>
      <c r="K102" s="187">
        <v>18</v>
      </c>
      <c r="L102" s="2">
        <v>18</v>
      </c>
      <c r="M102" s="2">
        <v>18</v>
      </c>
      <c r="N102" s="2">
        <v>18</v>
      </c>
      <c r="Q102" s="225"/>
      <c r="R102" s="225"/>
    </row>
    <row r="103" spans="1:18" ht="26.25" x14ac:dyDescent="0.25">
      <c r="A103" s="842"/>
      <c r="B103" s="646"/>
      <c r="C103" s="654"/>
      <c r="D103" s="573"/>
      <c r="E103" s="573"/>
      <c r="F103" s="666"/>
      <c r="G103" s="198">
        <v>2027</v>
      </c>
      <c r="H103" s="191">
        <f>M99</f>
        <v>6390.2752401600019</v>
      </c>
      <c r="I103" s="288" t="s">
        <v>21</v>
      </c>
      <c r="J103" s="196">
        <f>J99/J100</f>
        <v>66.725405405405411</v>
      </c>
      <c r="K103" s="195">
        <f>K99/K100</f>
        <v>73.862297297297303</v>
      </c>
      <c r="L103" s="3">
        <f>L99/L100</f>
        <v>81.543976216216237</v>
      </c>
      <c r="M103" s="3">
        <f>M99/M100</f>
        <v>86.355070812972997</v>
      </c>
      <c r="N103" s="3">
        <f>N99/N100</f>
        <v>91.450019990938429</v>
      </c>
      <c r="Q103" s="225"/>
      <c r="R103" s="225"/>
    </row>
    <row r="104" spans="1:18" ht="42" customHeight="1" thickBot="1" x14ac:dyDescent="0.3">
      <c r="A104" s="842"/>
      <c r="B104" s="646"/>
      <c r="C104" s="654"/>
      <c r="D104" s="651"/>
      <c r="E104" s="651"/>
      <c r="F104" s="667"/>
      <c r="G104" s="205">
        <v>2028</v>
      </c>
      <c r="H104" s="204">
        <f>N99</f>
        <v>6767.3014793294433</v>
      </c>
      <c r="I104" s="288" t="s">
        <v>131</v>
      </c>
      <c r="J104" s="296">
        <v>1</v>
      </c>
      <c r="K104" s="291">
        <v>1</v>
      </c>
      <c r="L104" s="39">
        <v>1</v>
      </c>
      <c r="M104" s="39">
        <v>1</v>
      </c>
      <c r="N104" s="39">
        <v>1</v>
      </c>
      <c r="Q104" s="225"/>
      <c r="R104" s="225"/>
    </row>
    <row r="105" spans="1:18" ht="27" thickBot="1" x14ac:dyDescent="0.3">
      <c r="A105" s="842"/>
      <c r="B105" s="646"/>
      <c r="C105" s="653" t="s">
        <v>34</v>
      </c>
      <c r="D105" s="650" t="s">
        <v>222</v>
      </c>
      <c r="E105" s="650" t="s">
        <v>59</v>
      </c>
      <c r="F105" s="650" t="s">
        <v>8</v>
      </c>
      <c r="G105" s="74" t="s">
        <v>9</v>
      </c>
      <c r="H105" s="197">
        <f>H106+H107+H108+H109+H110</f>
        <v>307861.76324537955</v>
      </c>
      <c r="I105" s="174" t="s">
        <v>11</v>
      </c>
      <c r="J105" s="14">
        <v>50269.42</v>
      </c>
      <c r="K105" s="176">
        <f>57099.98</f>
        <v>57099.98</v>
      </c>
      <c r="L105" s="171">
        <f>57099.98*110.4%</f>
        <v>63038.377920000006</v>
      </c>
      <c r="M105" s="171">
        <f>L105*105.9%</f>
        <v>66757.642217280023</v>
      </c>
      <c r="N105" s="171">
        <f>M105*105.9%</f>
        <v>70696.343108099551</v>
      </c>
      <c r="Q105" s="62"/>
      <c r="R105" s="225"/>
    </row>
    <row r="106" spans="1:18" ht="69" customHeight="1" x14ac:dyDescent="0.25">
      <c r="A106" s="842"/>
      <c r="B106" s="646"/>
      <c r="C106" s="654"/>
      <c r="D106" s="573"/>
      <c r="E106" s="573"/>
      <c r="F106" s="573"/>
      <c r="G106" s="198">
        <v>2024</v>
      </c>
      <c r="H106" s="202">
        <f>J105</f>
        <v>50269.42</v>
      </c>
      <c r="I106" s="295" t="s">
        <v>231</v>
      </c>
      <c r="J106" s="165">
        <v>149</v>
      </c>
      <c r="K106" s="275">
        <v>154</v>
      </c>
      <c r="L106" s="162">
        <v>155</v>
      </c>
      <c r="M106" s="162">
        <v>158</v>
      </c>
      <c r="N106" s="162">
        <v>160</v>
      </c>
      <c r="Q106" s="225"/>
      <c r="R106" s="225"/>
    </row>
    <row r="107" spans="1:18" ht="19.5" x14ac:dyDescent="0.25">
      <c r="A107" s="842"/>
      <c r="B107" s="646"/>
      <c r="C107" s="654"/>
      <c r="D107" s="573"/>
      <c r="E107" s="573"/>
      <c r="F107" s="573"/>
      <c r="G107" s="199">
        <v>2025</v>
      </c>
      <c r="H107" s="191">
        <f>K105</f>
        <v>57099.98</v>
      </c>
      <c r="I107" s="288" t="s">
        <v>15</v>
      </c>
      <c r="J107" s="186">
        <v>78</v>
      </c>
      <c r="K107" s="187">
        <v>80</v>
      </c>
      <c r="L107" s="2">
        <v>80</v>
      </c>
      <c r="M107" s="2">
        <v>80</v>
      </c>
      <c r="N107" s="2">
        <v>80</v>
      </c>
      <c r="Q107" s="225"/>
      <c r="R107" s="225"/>
    </row>
    <row r="108" spans="1:18" ht="19.5" x14ac:dyDescent="0.25">
      <c r="A108" s="842"/>
      <c r="B108" s="646"/>
      <c r="C108" s="654"/>
      <c r="D108" s="573"/>
      <c r="E108" s="573"/>
      <c r="F108" s="573"/>
      <c r="G108" s="199">
        <v>2026</v>
      </c>
      <c r="H108" s="203">
        <f>L105</f>
        <v>63038.377920000006</v>
      </c>
      <c r="I108" s="288" t="s">
        <v>16</v>
      </c>
      <c r="J108" s="186">
        <f>J106-J107</f>
        <v>71</v>
      </c>
      <c r="K108" s="187">
        <f>K106-K107</f>
        <v>74</v>
      </c>
      <c r="L108" s="2">
        <f>L106-L107</f>
        <v>75</v>
      </c>
      <c r="M108" s="2">
        <f>M106-M107</f>
        <v>78</v>
      </c>
      <c r="N108" s="2">
        <f>N106-N107</f>
        <v>80</v>
      </c>
      <c r="Q108" s="225"/>
      <c r="R108" s="225"/>
    </row>
    <row r="109" spans="1:18" ht="26.25" x14ac:dyDescent="0.25">
      <c r="A109" s="842"/>
      <c r="B109" s="646"/>
      <c r="C109" s="654"/>
      <c r="D109" s="573"/>
      <c r="E109" s="573"/>
      <c r="F109" s="573"/>
      <c r="G109" s="198">
        <v>2027</v>
      </c>
      <c r="H109" s="191">
        <f>M105</f>
        <v>66757.642217280023</v>
      </c>
      <c r="I109" s="288" t="s">
        <v>21</v>
      </c>
      <c r="J109" s="196">
        <f>J105/J106</f>
        <v>337.37865771812079</v>
      </c>
      <c r="K109" s="195">
        <f>K105/K106</f>
        <v>370.77909090909094</v>
      </c>
      <c r="L109" s="3">
        <f>L105/L106</f>
        <v>406.69921238709679</v>
      </c>
      <c r="M109" s="3">
        <f>M105/M106</f>
        <v>422.51672289417735</v>
      </c>
      <c r="N109" s="3">
        <f>N105/N106</f>
        <v>441.85214442562221</v>
      </c>
      <c r="Q109" s="225"/>
      <c r="R109" s="225"/>
    </row>
    <row r="110" spans="1:18" ht="39.75" customHeight="1" thickBot="1" x14ac:dyDescent="0.3">
      <c r="A110" s="842"/>
      <c r="B110" s="646"/>
      <c r="C110" s="654"/>
      <c r="D110" s="651"/>
      <c r="E110" s="651"/>
      <c r="F110" s="651"/>
      <c r="G110" s="205">
        <v>2028</v>
      </c>
      <c r="H110" s="204">
        <f>N105</f>
        <v>70696.343108099551</v>
      </c>
      <c r="I110" s="288" t="s">
        <v>131</v>
      </c>
      <c r="J110" s="155">
        <v>1</v>
      </c>
      <c r="K110" s="291">
        <v>1</v>
      </c>
      <c r="L110" s="39">
        <v>1</v>
      </c>
      <c r="M110" s="39">
        <v>1</v>
      </c>
      <c r="N110" s="39">
        <v>1</v>
      </c>
      <c r="Q110" s="225"/>
      <c r="R110" s="225"/>
    </row>
    <row r="111" spans="1:18" ht="33.75" customHeight="1" thickBot="1" x14ac:dyDescent="0.3">
      <c r="A111" s="842"/>
      <c r="B111" s="646"/>
      <c r="C111" s="655" t="s">
        <v>35</v>
      </c>
      <c r="D111" s="650" t="s">
        <v>222</v>
      </c>
      <c r="E111" s="650" t="s">
        <v>59</v>
      </c>
      <c r="F111" s="657" t="s">
        <v>8</v>
      </c>
      <c r="G111" s="74" t="s">
        <v>9</v>
      </c>
      <c r="H111" s="197">
        <f>H112+H113+H114+H115+H116</f>
        <v>206235.20286809173</v>
      </c>
      <c r="I111" s="174" t="s">
        <v>11</v>
      </c>
      <c r="J111" s="14">
        <v>34615.620000000003</v>
      </c>
      <c r="K111" s="176">
        <f>38042.57</f>
        <v>38042.57</v>
      </c>
      <c r="L111" s="171">
        <f>38042.57*110.4%</f>
        <v>41998.997280000003</v>
      </c>
      <c r="M111" s="171">
        <f>L111*105.9%</f>
        <v>44476.938119520011</v>
      </c>
      <c r="N111" s="171">
        <f>M111*105.9%</f>
        <v>47101.077468571697</v>
      </c>
      <c r="Q111" s="62"/>
      <c r="R111" s="225"/>
    </row>
    <row r="112" spans="1:18" ht="68.25" customHeight="1" x14ac:dyDescent="0.25">
      <c r="A112" s="842"/>
      <c r="B112" s="646"/>
      <c r="C112" s="656"/>
      <c r="D112" s="573"/>
      <c r="E112" s="573"/>
      <c r="F112" s="658"/>
      <c r="G112" s="189">
        <v>2024</v>
      </c>
      <c r="H112" s="202">
        <f>J111</f>
        <v>34615.620000000003</v>
      </c>
      <c r="I112" s="287" t="s">
        <v>144</v>
      </c>
      <c r="J112" s="165">
        <v>151</v>
      </c>
      <c r="K112" s="275">
        <v>151</v>
      </c>
      <c r="L112" s="162">
        <v>165</v>
      </c>
      <c r="M112" s="162">
        <v>170</v>
      </c>
      <c r="N112" s="162">
        <v>175</v>
      </c>
      <c r="Q112" s="225"/>
      <c r="R112" s="225"/>
    </row>
    <row r="113" spans="1:18" ht="19.5" x14ac:dyDescent="0.25">
      <c r="A113" s="842"/>
      <c r="B113" s="646"/>
      <c r="C113" s="656"/>
      <c r="D113" s="573"/>
      <c r="E113" s="573"/>
      <c r="F113" s="658"/>
      <c r="G113" s="199">
        <v>2025</v>
      </c>
      <c r="H113" s="191">
        <f>K111</f>
        <v>38042.57</v>
      </c>
      <c r="I113" s="288" t="s">
        <v>15</v>
      </c>
      <c r="J113" s="186">
        <v>61</v>
      </c>
      <c r="K113" s="187">
        <v>61</v>
      </c>
      <c r="L113" s="2">
        <v>70</v>
      </c>
      <c r="M113" s="2">
        <v>73</v>
      </c>
      <c r="N113" s="2">
        <v>75</v>
      </c>
      <c r="Q113" s="225"/>
      <c r="R113" s="225"/>
    </row>
    <row r="114" spans="1:18" ht="17.25" customHeight="1" x14ac:dyDescent="0.25">
      <c r="A114" s="842"/>
      <c r="B114" s="646"/>
      <c r="C114" s="656"/>
      <c r="D114" s="573"/>
      <c r="E114" s="573"/>
      <c r="F114" s="658"/>
      <c r="G114" s="199">
        <v>2026</v>
      </c>
      <c r="H114" s="203">
        <f>L111</f>
        <v>41998.997280000003</v>
      </c>
      <c r="I114" s="288" t="s">
        <v>16</v>
      </c>
      <c r="J114" s="186">
        <v>90</v>
      </c>
      <c r="K114" s="187">
        <v>90</v>
      </c>
      <c r="L114" s="2">
        <v>95</v>
      </c>
      <c r="M114" s="2">
        <v>97</v>
      </c>
      <c r="N114" s="2">
        <v>100</v>
      </c>
      <c r="Q114" s="225"/>
      <c r="R114" s="225"/>
    </row>
    <row r="115" spans="1:18" ht="37.5" customHeight="1" x14ac:dyDescent="0.25">
      <c r="A115" s="842"/>
      <c r="B115" s="646"/>
      <c r="C115" s="656"/>
      <c r="D115" s="573"/>
      <c r="E115" s="573"/>
      <c r="F115" s="658"/>
      <c r="G115" s="198">
        <v>2027</v>
      </c>
      <c r="H115" s="191">
        <f>M111</f>
        <v>44476.938119520011</v>
      </c>
      <c r="I115" s="288" t="s">
        <v>21</v>
      </c>
      <c r="J115" s="196">
        <f>J111/J112</f>
        <v>229.24251655629141</v>
      </c>
      <c r="K115" s="195">
        <f>K111/K112</f>
        <v>251.93754966887417</v>
      </c>
      <c r="L115" s="3">
        <f>L111/L112</f>
        <v>254.53937745454547</v>
      </c>
      <c r="M115" s="3">
        <f>M111/M112</f>
        <v>261.62904776188242</v>
      </c>
      <c r="N115" s="3">
        <f>N111/N112</f>
        <v>269.14901410612396</v>
      </c>
      <c r="Q115" s="225"/>
      <c r="R115" s="225"/>
    </row>
    <row r="116" spans="1:18" ht="44.25" customHeight="1" thickBot="1" x14ac:dyDescent="0.3">
      <c r="A116" s="842"/>
      <c r="B116" s="646"/>
      <c r="C116" s="656"/>
      <c r="D116" s="651"/>
      <c r="E116" s="651"/>
      <c r="F116" s="659"/>
      <c r="G116" s="205">
        <v>2028</v>
      </c>
      <c r="H116" s="192">
        <f>N111</f>
        <v>47101.077468571697</v>
      </c>
      <c r="I116" s="289" t="s">
        <v>131</v>
      </c>
      <c r="J116" s="161">
        <v>1</v>
      </c>
      <c r="K116" s="158">
        <v>1</v>
      </c>
      <c r="L116" s="24">
        <v>1</v>
      </c>
      <c r="M116" s="24">
        <v>1</v>
      </c>
      <c r="N116" s="24">
        <v>1</v>
      </c>
      <c r="Q116" s="225"/>
      <c r="R116" s="225"/>
    </row>
    <row r="117" spans="1:18" ht="44.25" customHeight="1" thickBot="1" x14ac:dyDescent="0.3">
      <c r="A117" s="842"/>
      <c r="B117" s="646"/>
      <c r="C117" s="788" t="s">
        <v>243</v>
      </c>
      <c r="D117" s="790" t="s">
        <v>7</v>
      </c>
      <c r="E117" s="793" t="s">
        <v>59</v>
      </c>
      <c r="F117" s="683" t="s">
        <v>8</v>
      </c>
      <c r="G117" s="390" t="s">
        <v>9</v>
      </c>
      <c r="H117" s="173">
        <f>J117+K117</f>
        <v>1563.84</v>
      </c>
      <c r="I117" s="391" t="s">
        <v>11</v>
      </c>
      <c r="J117" s="14">
        <v>745.04</v>
      </c>
      <c r="K117" s="176">
        <v>818.8</v>
      </c>
      <c r="L117" s="171"/>
      <c r="M117" s="171"/>
      <c r="N117" s="171"/>
      <c r="O117" s="392"/>
      <c r="P117" s="392"/>
      <c r="Q117" s="62"/>
      <c r="R117" s="225"/>
    </row>
    <row r="118" spans="1:18" ht="53.25" customHeight="1" x14ac:dyDescent="0.25">
      <c r="A118" s="842"/>
      <c r="B118" s="646"/>
      <c r="C118" s="789"/>
      <c r="D118" s="791"/>
      <c r="E118" s="794"/>
      <c r="F118" s="684"/>
      <c r="G118" s="371">
        <v>2024</v>
      </c>
      <c r="H118" s="202">
        <f>J117</f>
        <v>745.04</v>
      </c>
      <c r="I118" s="393" t="s">
        <v>260</v>
      </c>
      <c r="J118" s="297">
        <v>3</v>
      </c>
      <c r="K118" s="366">
        <v>3</v>
      </c>
      <c r="L118" s="162"/>
      <c r="M118" s="162"/>
      <c r="N118" s="162"/>
      <c r="O118" s="392"/>
      <c r="P118" s="392"/>
      <c r="Q118" s="394"/>
      <c r="R118" s="225"/>
    </row>
    <row r="119" spans="1:18" ht="24" customHeight="1" x14ac:dyDescent="0.25">
      <c r="A119" s="842"/>
      <c r="B119" s="646"/>
      <c r="C119" s="789"/>
      <c r="D119" s="791"/>
      <c r="E119" s="794"/>
      <c r="F119" s="684"/>
      <c r="G119" s="381">
        <v>2025</v>
      </c>
      <c r="H119" s="191">
        <f>K117</f>
        <v>818.8</v>
      </c>
      <c r="I119" s="395" t="s">
        <v>15</v>
      </c>
      <c r="J119" s="186">
        <v>1</v>
      </c>
      <c r="K119" s="187">
        <v>1</v>
      </c>
      <c r="L119" s="2"/>
      <c r="M119" s="2"/>
      <c r="N119" s="2"/>
      <c r="O119" s="392"/>
      <c r="P119" s="392"/>
      <c r="Q119" s="394"/>
      <c r="R119" s="225"/>
    </row>
    <row r="120" spans="1:18" ht="26.25" customHeight="1" x14ac:dyDescent="0.25">
      <c r="A120" s="842"/>
      <c r="B120" s="646"/>
      <c r="C120" s="789"/>
      <c r="D120" s="791"/>
      <c r="E120" s="794"/>
      <c r="F120" s="684"/>
      <c r="G120" s="381"/>
      <c r="H120" s="396"/>
      <c r="I120" s="395" t="s">
        <v>16</v>
      </c>
      <c r="J120" s="186">
        <v>2</v>
      </c>
      <c r="K120" s="187">
        <v>2</v>
      </c>
      <c r="L120" s="2"/>
      <c r="M120" s="2"/>
      <c r="N120" s="2"/>
      <c r="O120" s="392"/>
      <c r="P120" s="392"/>
      <c r="Q120" s="394"/>
      <c r="R120" s="225"/>
    </row>
    <row r="121" spans="1:18" ht="28.5" customHeight="1" x14ac:dyDescent="0.25">
      <c r="A121" s="842"/>
      <c r="B121" s="646"/>
      <c r="C121" s="789"/>
      <c r="D121" s="791"/>
      <c r="E121" s="794"/>
      <c r="F121" s="684"/>
      <c r="G121" s="380"/>
      <c r="H121" s="191"/>
      <c r="I121" s="395" t="s">
        <v>21</v>
      </c>
      <c r="J121" s="196">
        <f>J117/J118</f>
        <v>248.34666666666666</v>
      </c>
      <c r="K121" s="195">
        <f>K117/K118</f>
        <v>272.93333333333334</v>
      </c>
      <c r="L121" s="3"/>
      <c r="M121" s="3"/>
      <c r="N121" s="3"/>
      <c r="O121" s="392"/>
      <c r="P121" s="392"/>
      <c r="Q121" s="394"/>
      <c r="R121" s="225"/>
    </row>
    <row r="122" spans="1:18" ht="30" customHeight="1" thickBot="1" x14ac:dyDescent="0.3">
      <c r="A122" s="842"/>
      <c r="B122" s="646"/>
      <c r="C122" s="789"/>
      <c r="D122" s="792"/>
      <c r="E122" s="794"/>
      <c r="F122" s="795"/>
      <c r="G122" s="378"/>
      <c r="H122" s="192"/>
      <c r="I122" s="397" t="s">
        <v>131</v>
      </c>
      <c r="J122" s="357">
        <v>1</v>
      </c>
      <c r="K122" s="359">
        <v>1</v>
      </c>
      <c r="L122" s="360"/>
      <c r="M122" s="360"/>
      <c r="N122" s="360"/>
      <c r="O122" s="392"/>
      <c r="P122" s="392"/>
      <c r="Q122" s="394"/>
      <c r="R122" s="225"/>
    </row>
    <row r="123" spans="1:18" ht="30.75" customHeight="1" thickBot="1" x14ac:dyDescent="0.3">
      <c r="A123" s="842"/>
      <c r="B123" s="646"/>
      <c r="C123" s="788" t="s">
        <v>244</v>
      </c>
      <c r="D123" s="790" t="s">
        <v>7</v>
      </c>
      <c r="E123" s="790" t="s">
        <v>59</v>
      </c>
      <c r="F123" s="683" t="s">
        <v>8</v>
      </c>
      <c r="G123" s="398" t="s">
        <v>9</v>
      </c>
      <c r="H123" s="173">
        <f>J123+K123</f>
        <v>1991.2799999999997</v>
      </c>
      <c r="I123" s="391" t="s">
        <v>11</v>
      </c>
      <c r="J123" s="14">
        <v>948.68</v>
      </c>
      <c r="K123" s="176">
        <v>1042.5999999999999</v>
      </c>
      <c r="L123" s="171"/>
      <c r="M123" s="171"/>
      <c r="N123" s="171"/>
      <c r="Q123" s="62"/>
      <c r="R123" s="225"/>
    </row>
    <row r="124" spans="1:18" ht="70.5" customHeight="1" x14ac:dyDescent="0.25">
      <c r="A124" s="842"/>
      <c r="B124" s="646"/>
      <c r="C124" s="789"/>
      <c r="D124" s="791"/>
      <c r="E124" s="791"/>
      <c r="F124" s="684"/>
      <c r="G124" s="371">
        <v>2024</v>
      </c>
      <c r="H124" s="230">
        <f>J123</f>
        <v>948.68</v>
      </c>
      <c r="I124" s="399" t="s">
        <v>261</v>
      </c>
      <c r="J124" s="365">
        <v>5</v>
      </c>
      <c r="K124" s="366">
        <v>5</v>
      </c>
      <c r="L124" s="162"/>
      <c r="M124" s="162"/>
      <c r="N124" s="162"/>
      <c r="Q124" s="225"/>
      <c r="R124" s="225"/>
    </row>
    <row r="125" spans="1:18" ht="18" customHeight="1" x14ac:dyDescent="0.25">
      <c r="A125" s="842"/>
      <c r="B125" s="646"/>
      <c r="C125" s="789"/>
      <c r="D125" s="791"/>
      <c r="E125" s="791"/>
      <c r="F125" s="684"/>
      <c r="G125" s="381">
        <v>2025</v>
      </c>
      <c r="H125" s="231">
        <f>K123</f>
        <v>1042.5999999999999</v>
      </c>
      <c r="I125" s="400" t="s">
        <v>15</v>
      </c>
      <c r="J125" s="186">
        <v>1</v>
      </c>
      <c r="K125" s="187">
        <v>1</v>
      </c>
      <c r="L125" s="2"/>
      <c r="M125" s="2"/>
      <c r="N125" s="2"/>
      <c r="Q125" s="225"/>
      <c r="R125" s="225"/>
    </row>
    <row r="126" spans="1:18" ht="18" customHeight="1" x14ac:dyDescent="0.25">
      <c r="A126" s="842"/>
      <c r="B126" s="646"/>
      <c r="C126" s="789"/>
      <c r="D126" s="791"/>
      <c r="E126" s="791"/>
      <c r="F126" s="684"/>
      <c r="G126" s="381"/>
      <c r="H126" s="231"/>
      <c r="I126" s="400" t="s">
        <v>16</v>
      </c>
      <c r="J126" s="186">
        <v>4</v>
      </c>
      <c r="K126" s="187">
        <v>4</v>
      </c>
      <c r="L126" s="2"/>
      <c r="M126" s="2"/>
      <c r="N126" s="2"/>
      <c r="Q126" s="225"/>
      <c r="R126" s="225"/>
    </row>
    <row r="127" spans="1:18" ht="35.25" customHeight="1" x14ac:dyDescent="0.25">
      <c r="A127" s="842"/>
      <c r="B127" s="646"/>
      <c r="C127" s="789"/>
      <c r="D127" s="791"/>
      <c r="E127" s="791"/>
      <c r="F127" s="684"/>
      <c r="G127" s="381"/>
      <c r="H127" s="231"/>
      <c r="I127" s="400" t="s">
        <v>21</v>
      </c>
      <c r="J127" s="196">
        <f>J123/J124</f>
        <v>189.73599999999999</v>
      </c>
      <c r="K127" s="195">
        <f>K123/K124</f>
        <v>208.51999999999998</v>
      </c>
      <c r="L127" s="196"/>
      <c r="M127" s="195"/>
      <c r="N127" s="3"/>
      <c r="Q127" s="225"/>
      <c r="R127" s="225"/>
    </row>
    <row r="128" spans="1:18" ht="36.75" customHeight="1" thickBot="1" x14ac:dyDescent="0.3">
      <c r="A128" s="842"/>
      <c r="B128" s="646"/>
      <c r="C128" s="789"/>
      <c r="D128" s="792"/>
      <c r="E128" s="791"/>
      <c r="F128" s="685"/>
      <c r="G128" s="401"/>
      <c r="H128" s="402"/>
      <c r="I128" s="403" t="s">
        <v>131</v>
      </c>
      <c r="J128" s="358">
        <v>1</v>
      </c>
      <c r="K128" s="286">
        <v>1</v>
      </c>
      <c r="L128" s="357"/>
      <c r="M128" s="194"/>
      <c r="N128" s="358"/>
      <c r="Q128" s="225"/>
      <c r="R128" s="225"/>
    </row>
    <row r="129" spans="1:18" ht="36" customHeight="1" thickBot="1" x14ac:dyDescent="0.3">
      <c r="A129" s="842"/>
      <c r="B129" s="647"/>
      <c r="C129" s="810" t="s">
        <v>245</v>
      </c>
      <c r="D129" s="678" t="s">
        <v>7</v>
      </c>
      <c r="E129" s="790" t="s">
        <v>59</v>
      </c>
      <c r="F129" s="683" t="s">
        <v>8</v>
      </c>
      <c r="G129" s="379" t="s">
        <v>9</v>
      </c>
      <c r="H129" s="197">
        <f>J129+K129</f>
        <v>673.05</v>
      </c>
      <c r="I129" s="391" t="s">
        <v>11</v>
      </c>
      <c r="J129" s="14">
        <v>320.64999999999998</v>
      </c>
      <c r="K129" s="176">
        <v>352.4</v>
      </c>
      <c r="L129" s="171"/>
      <c r="M129" s="171"/>
      <c r="N129" s="171"/>
      <c r="Q129" s="62"/>
      <c r="R129" s="225"/>
    </row>
    <row r="130" spans="1:18" ht="69" customHeight="1" x14ac:dyDescent="0.25">
      <c r="A130" s="842"/>
      <c r="B130" s="647"/>
      <c r="C130" s="811"/>
      <c r="D130" s="679"/>
      <c r="E130" s="791"/>
      <c r="F130" s="684"/>
      <c r="G130" s="380">
        <v>2024</v>
      </c>
      <c r="H130" s="190">
        <f>J129</f>
        <v>320.64999999999998</v>
      </c>
      <c r="I130" s="404" t="s">
        <v>262</v>
      </c>
      <c r="J130" s="297">
        <v>6</v>
      </c>
      <c r="K130" s="366">
        <v>6</v>
      </c>
      <c r="L130" s="162"/>
      <c r="M130" s="162"/>
      <c r="N130" s="162"/>
      <c r="Q130" s="225"/>
      <c r="R130" s="225"/>
    </row>
    <row r="131" spans="1:18" ht="27" customHeight="1" x14ac:dyDescent="0.25">
      <c r="A131" s="842"/>
      <c r="B131" s="647"/>
      <c r="C131" s="811"/>
      <c r="D131" s="679"/>
      <c r="E131" s="791"/>
      <c r="F131" s="684"/>
      <c r="G131" s="381">
        <v>2025</v>
      </c>
      <c r="H131" s="191">
        <f>K129</f>
        <v>352.4</v>
      </c>
      <c r="I131" s="405" t="s">
        <v>15</v>
      </c>
      <c r="J131" s="186">
        <v>1</v>
      </c>
      <c r="K131" s="187">
        <v>1</v>
      </c>
      <c r="L131" s="2"/>
      <c r="M131" s="2"/>
      <c r="N131" s="2"/>
      <c r="Q131" s="225"/>
      <c r="R131" s="225"/>
    </row>
    <row r="132" spans="1:18" ht="23.25" customHeight="1" x14ac:dyDescent="0.25">
      <c r="A132" s="842"/>
      <c r="B132" s="647"/>
      <c r="C132" s="811"/>
      <c r="D132" s="679"/>
      <c r="E132" s="791"/>
      <c r="F132" s="684"/>
      <c r="G132" s="381"/>
      <c r="H132" s="191"/>
      <c r="I132" s="405" t="s">
        <v>16</v>
      </c>
      <c r="J132" s="186">
        <v>5</v>
      </c>
      <c r="K132" s="187">
        <v>5</v>
      </c>
      <c r="L132" s="2"/>
      <c r="M132" s="2"/>
      <c r="N132" s="2"/>
      <c r="Q132" s="225"/>
      <c r="R132" s="225"/>
    </row>
    <row r="133" spans="1:18" ht="28.5" customHeight="1" x14ac:dyDescent="0.25">
      <c r="A133" s="842"/>
      <c r="B133" s="647"/>
      <c r="C133" s="811"/>
      <c r="D133" s="679"/>
      <c r="E133" s="791"/>
      <c r="F133" s="684"/>
      <c r="G133" s="406"/>
      <c r="H133" s="191"/>
      <c r="I133" s="405" t="s">
        <v>21</v>
      </c>
      <c r="J133" s="196">
        <f>J129/J130</f>
        <v>53.441666666666663</v>
      </c>
      <c r="K133" s="195">
        <f>K129/K130</f>
        <v>58.733333333333327</v>
      </c>
      <c r="L133" s="3"/>
      <c r="M133" s="3"/>
      <c r="N133" s="3"/>
      <c r="Q133" s="225"/>
      <c r="R133" s="225"/>
    </row>
    <row r="134" spans="1:18" ht="37.5" customHeight="1" thickBot="1" x14ac:dyDescent="0.3">
      <c r="A134" s="842"/>
      <c r="B134" s="647"/>
      <c r="C134" s="812"/>
      <c r="D134" s="680"/>
      <c r="E134" s="792"/>
      <c r="F134" s="795"/>
      <c r="G134" s="378"/>
      <c r="H134" s="36"/>
      <c r="I134" s="407" t="s">
        <v>131</v>
      </c>
      <c r="J134" s="357">
        <v>1</v>
      </c>
      <c r="K134" s="286">
        <v>1</v>
      </c>
      <c r="L134" s="357"/>
      <c r="M134" s="194"/>
      <c r="N134" s="357"/>
      <c r="Q134" s="225"/>
      <c r="R134" s="225"/>
    </row>
    <row r="135" spans="1:18" ht="33" customHeight="1" thickBot="1" x14ac:dyDescent="0.3">
      <c r="A135" s="842"/>
      <c r="B135" s="646"/>
      <c r="C135" s="649" t="s">
        <v>39</v>
      </c>
      <c r="D135" s="650" t="s">
        <v>222</v>
      </c>
      <c r="E135" s="652" t="s">
        <v>59</v>
      </c>
      <c r="F135" s="650" t="s">
        <v>8</v>
      </c>
      <c r="G135" s="74" t="s">
        <v>9</v>
      </c>
      <c r="H135" s="197">
        <f>H136+H137+H138+H139+H140</f>
        <v>108129.44044947872</v>
      </c>
      <c r="I135" s="174" t="s">
        <v>11</v>
      </c>
      <c r="J135" s="14">
        <v>18149.02</v>
      </c>
      <c r="K135" s="176">
        <f>19945.78</f>
        <v>19945.78</v>
      </c>
      <c r="L135" s="171">
        <f>19945.78*110.4%</f>
        <v>22020.14112</v>
      </c>
      <c r="M135" s="171">
        <f>L135*105.9%</f>
        <v>23319.329446080003</v>
      </c>
      <c r="N135" s="171">
        <f>M135*105.9%</f>
        <v>24695.169883398725</v>
      </c>
      <c r="Q135" s="62"/>
      <c r="R135" s="225"/>
    </row>
    <row r="136" spans="1:18" ht="51.75" x14ac:dyDescent="0.25">
      <c r="A136" s="842"/>
      <c r="B136" s="646"/>
      <c r="C136" s="649"/>
      <c r="D136" s="573"/>
      <c r="E136" s="652"/>
      <c r="F136" s="573"/>
      <c r="G136" s="198">
        <v>2024</v>
      </c>
      <c r="H136" s="202">
        <f>J135</f>
        <v>18149.02</v>
      </c>
      <c r="I136" s="295" t="s">
        <v>235</v>
      </c>
      <c r="J136" s="165">
        <v>74</v>
      </c>
      <c r="K136" s="275">
        <v>74</v>
      </c>
      <c r="L136" s="162">
        <v>74</v>
      </c>
      <c r="M136" s="162">
        <v>74</v>
      </c>
      <c r="N136" s="162">
        <v>74</v>
      </c>
      <c r="Q136" s="159"/>
      <c r="R136" s="225"/>
    </row>
    <row r="137" spans="1:18" ht="19.5" x14ac:dyDescent="0.25">
      <c r="A137" s="842"/>
      <c r="B137" s="646"/>
      <c r="C137" s="649"/>
      <c r="D137" s="573"/>
      <c r="E137" s="652"/>
      <c r="F137" s="573"/>
      <c r="G137" s="199">
        <v>2025</v>
      </c>
      <c r="H137" s="191">
        <f>K135</f>
        <v>19945.78</v>
      </c>
      <c r="I137" s="288" t="s">
        <v>15</v>
      </c>
      <c r="J137" s="186">
        <f>J136-J138</f>
        <v>58</v>
      </c>
      <c r="K137" s="187">
        <f>K136-K138</f>
        <v>58</v>
      </c>
      <c r="L137" s="2">
        <f>L136-L138</f>
        <v>58</v>
      </c>
      <c r="M137" s="2">
        <f>M136-M138</f>
        <v>58</v>
      </c>
      <c r="N137" s="2">
        <f>N136-N138</f>
        <v>58</v>
      </c>
      <c r="Q137" s="225"/>
      <c r="R137" s="225"/>
    </row>
    <row r="138" spans="1:18" ht="19.5" x14ac:dyDescent="0.25">
      <c r="A138" s="842"/>
      <c r="B138" s="646"/>
      <c r="C138" s="649"/>
      <c r="D138" s="573"/>
      <c r="E138" s="652"/>
      <c r="F138" s="573"/>
      <c r="G138" s="199">
        <v>2026</v>
      </c>
      <c r="H138" s="203">
        <f>L135</f>
        <v>22020.14112</v>
      </c>
      <c r="I138" s="288" t="s">
        <v>16</v>
      </c>
      <c r="J138" s="186">
        <v>16</v>
      </c>
      <c r="K138" s="187">
        <v>16</v>
      </c>
      <c r="L138" s="2">
        <v>16</v>
      </c>
      <c r="M138" s="2">
        <v>16</v>
      </c>
      <c r="N138" s="2">
        <v>16</v>
      </c>
      <c r="Q138" s="225"/>
      <c r="R138" s="225"/>
    </row>
    <row r="139" spans="1:18" ht="28.5" customHeight="1" x14ac:dyDescent="0.25">
      <c r="A139" s="842"/>
      <c r="B139" s="646"/>
      <c r="C139" s="649"/>
      <c r="D139" s="573"/>
      <c r="E139" s="652"/>
      <c r="F139" s="573"/>
      <c r="G139" s="198">
        <v>2027</v>
      </c>
      <c r="H139" s="191">
        <f>M135</f>
        <v>23319.329446080003</v>
      </c>
      <c r="I139" s="288" t="s">
        <v>21</v>
      </c>
      <c r="J139" s="196">
        <f>J135/J136</f>
        <v>245.25702702702702</v>
      </c>
      <c r="K139" s="195">
        <f>K135/K136</f>
        <v>269.53756756756758</v>
      </c>
      <c r="L139" s="3">
        <f>L135/L136</f>
        <v>297.56947459459462</v>
      </c>
      <c r="M139" s="3">
        <f>M135/M136</f>
        <v>315.12607359567573</v>
      </c>
      <c r="N139" s="3">
        <f>N135/N136</f>
        <v>333.71851193782061</v>
      </c>
      <c r="Q139" s="225"/>
      <c r="R139" s="225"/>
    </row>
    <row r="140" spans="1:18" ht="33" customHeight="1" thickBot="1" x14ac:dyDescent="0.3">
      <c r="A140" s="842"/>
      <c r="B140" s="646"/>
      <c r="C140" s="649"/>
      <c r="D140" s="651"/>
      <c r="E140" s="652"/>
      <c r="F140" s="651"/>
      <c r="G140" s="205">
        <v>2028</v>
      </c>
      <c r="H140" s="204">
        <f>N135</f>
        <v>24695.169883398725</v>
      </c>
      <c r="I140" s="298" t="s">
        <v>131</v>
      </c>
      <c r="J140" s="286">
        <v>1</v>
      </c>
      <c r="K140" s="291">
        <v>1</v>
      </c>
      <c r="L140" s="39">
        <v>1</v>
      </c>
      <c r="M140" s="39">
        <v>1</v>
      </c>
      <c r="N140" s="39">
        <v>1</v>
      </c>
      <c r="Q140" s="225"/>
      <c r="R140" s="225"/>
    </row>
    <row r="141" spans="1:18" ht="27" thickBot="1" x14ac:dyDescent="0.3">
      <c r="A141" s="842"/>
      <c r="B141" s="646"/>
      <c r="C141" s="653" t="s">
        <v>71</v>
      </c>
      <c r="D141" s="650" t="s">
        <v>222</v>
      </c>
      <c r="E141" s="650" t="s">
        <v>59</v>
      </c>
      <c r="F141" s="650" t="s">
        <v>8</v>
      </c>
      <c r="G141" s="74" t="s">
        <v>9</v>
      </c>
      <c r="H141" s="197">
        <f>H142+H143+H144+H145+H146</f>
        <v>2133037.6985071143</v>
      </c>
      <c r="I141" s="174" t="s">
        <v>11</v>
      </c>
      <c r="J141" s="14">
        <v>323549.74</v>
      </c>
      <c r="K141" s="176">
        <f>401105.58</f>
        <v>401105.58</v>
      </c>
      <c r="L141" s="171">
        <f>401105.58*110.4%</f>
        <v>442820.56032000005</v>
      </c>
      <c r="M141" s="171">
        <f>L141*105.9%</f>
        <v>468946.97337888012</v>
      </c>
      <c r="N141" s="171">
        <f>M141*105.9%</f>
        <v>496614.84480823413</v>
      </c>
      <c r="Q141" s="62"/>
      <c r="R141" s="225"/>
    </row>
    <row r="142" spans="1:18" ht="64.5" x14ac:dyDescent="0.25">
      <c r="A142" s="842"/>
      <c r="B142" s="646"/>
      <c r="C142" s="654"/>
      <c r="D142" s="573"/>
      <c r="E142" s="573"/>
      <c r="F142" s="573"/>
      <c r="G142" s="198">
        <v>2024</v>
      </c>
      <c r="H142" s="202">
        <f>J141</f>
        <v>323549.74</v>
      </c>
      <c r="I142" s="295" t="s">
        <v>232</v>
      </c>
      <c r="J142" s="165">
        <v>32</v>
      </c>
      <c r="K142" s="275">
        <v>35</v>
      </c>
      <c r="L142" s="162">
        <v>35</v>
      </c>
      <c r="M142" s="162">
        <v>35</v>
      </c>
      <c r="N142" s="162">
        <v>35</v>
      </c>
      <c r="Q142" s="225"/>
      <c r="R142" s="225"/>
    </row>
    <row r="143" spans="1:18" ht="19.5" x14ac:dyDescent="0.25">
      <c r="A143" s="842"/>
      <c r="B143" s="646"/>
      <c r="C143" s="654"/>
      <c r="D143" s="573"/>
      <c r="E143" s="573"/>
      <c r="F143" s="573"/>
      <c r="G143" s="199">
        <v>2025</v>
      </c>
      <c r="H143" s="191">
        <f>K141</f>
        <v>401105.58</v>
      </c>
      <c r="I143" s="288" t="s">
        <v>15</v>
      </c>
      <c r="J143" s="186">
        <v>16</v>
      </c>
      <c r="K143" s="187">
        <v>17</v>
      </c>
      <c r="L143" s="2">
        <v>17</v>
      </c>
      <c r="M143" s="2">
        <v>17</v>
      </c>
      <c r="N143" s="2">
        <v>17</v>
      </c>
      <c r="Q143" s="225"/>
      <c r="R143" s="225"/>
    </row>
    <row r="144" spans="1:18" ht="19.5" x14ac:dyDescent="0.25">
      <c r="A144" s="842"/>
      <c r="B144" s="646"/>
      <c r="C144" s="654"/>
      <c r="D144" s="573"/>
      <c r="E144" s="573"/>
      <c r="F144" s="573"/>
      <c r="G144" s="199">
        <v>2026</v>
      </c>
      <c r="H144" s="203">
        <f>L141</f>
        <v>442820.56032000005</v>
      </c>
      <c r="I144" s="288" t="s">
        <v>16</v>
      </c>
      <c r="J144" s="186">
        <v>16</v>
      </c>
      <c r="K144" s="187">
        <v>18</v>
      </c>
      <c r="L144" s="2">
        <v>18</v>
      </c>
      <c r="M144" s="2">
        <v>18</v>
      </c>
      <c r="N144" s="2">
        <v>18</v>
      </c>
      <c r="Q144" s="225"/>
      <c r="R144" s="225"/>
    </row>
    <row r="145" spans="1:18" ht="26.25" x14ac:dyDescent="0.25">
      <c r="A145" s="842"/>
      <c r="B145" s="646"/>
      <c r="C145" s="654"/>
      <c r="D145" s="573"/>
      <c r="E145" s="573"/>
      <c r="F145" s="573"/>
      <c r="G145" s="198">
        <v>2027</v>
      </c>
      <c r="H145" s="191">
        <f>M141</f>
        <v>468946.97337888012</v>
      </c>
      <c r="I145" s="288" t="s">
        <v>21</v>
      </c>
      <c r="J145" s="196">
        <f>J141/J142</f>
        <v>10110.929375</v>
      </c>
      <c r="K145" s="195">
        <f>K141/K142</f>
        <v>11460.159428571429</v>
      </c>
      <c r="L145" s="3">
        <f>L141/L142</f>
        <v>12652.016009142859</v>
      </c>
      <c r="M145" s="3">
        <f>M141/M142</f>
        <v>13398.484953682289</v>
      </c>
      <c r="N145" s="3">
        <f>N141/N142</f>
        <v>14188.995565949546</v>
      </c>
      <c r="Q145" s="225"/>
      <c r="R145" s="225"/>
    </row>
    <row r="146" spans="1:18" ht="37.5" customHeight="1" thickBot="1" x14ac:dyDescent="0.3">
      <c r="A146" s="842"/>
      <c r="B146" s="646"/>
      <c r="C146" s="654"/>
      <c r="D146" s="651"/>
      <c r="E146" s="651"/>
      <c r="F146" s="651"/>
      <c r="G146" s="205">
        <v>2028</v>
      </c>
      <c r="H146" s="204">
        <f>N141</f>
        <v>496614.84480823413</v>
      </c>
      <c r="I146" s="288" t="s">
        <v>131</v>
      </c>
      <c r="J146" s="296">
        <v>1</v>
      </c>
      <c r="K146" s="291">
        <v>1</v>
      </c>
      <c r="L146" s="39">
        <v>1</v>
      </c>
      <c r="M146" s="39">
        <v>1</v>
      </c>
      <c r="N146" s="39">
        <v>1</v>
      </c>
      <c r="Q146" s="225"/>
      <c r="R146" s="225"/>
    </row>
    <row r="147" spans="1:18" ht="27" thickBot="1" x14ac:dyDescent="0.3">
      <c r="A147" s="842"/>
      <c r="B147" s="646"/>
      <c r="C147" s="655" t="s">
        <v>72</v>
      </c>
      <c r="D147" s="650" t="s">
        <v>222</v>
      </c>
      <c r="E147" s="650" t="s">
        <v>59</v>
      </c>
      <c r="F147" s="657" t="s">
        <v>8</v>
      </c>
      <c r="G147" s="74" t="s">
        <v>9</v>
      </c>
      <c r="H147" s="197">
        <f>H148+H149+H150+H151+H152</f>
        <v>28773.554781933923</v>
      </c>
      <c r="I147" s="174" t="s">
        <v>11</v>
      </c>
      <c r="J147" s="14">
        <v>4788</v>
      </c>
      <c r="K147" s="176">
        <f>5316.83</f>
        <v>5316.83</v>
      </c>
      <c r="L147" s="171">
        <f>5316.83*110.4%</f>
        <v>5869.7803200000008</v>
      </c>
      <c r="M147" s="171">
        <f>L147*105.9%</f>
        <v>6216.0973588800016</v>
      </c>
      <c r="N147" s="171">
        <f>M147*105.9%</f>
        <v>6582.8471030539231</v>
      </c>
      <c r="Q147" s="62"/>
      <c r="R147" s="225"/>
    </row>
    <row r="148" spans="1:18" ht="77.25" x14ac:dyDescent="0.25">
      <c r="A148" s="842"/>
      <c r="B148" s="646"/>
      <c r="C148" s="656"/>
      <c r="D148" s="573"/>
      <c r="E148" s="573"/>
      <c r="F148" s="658"/>
      <c r="G148" s="189">
        <v>2024</v>
      </c>
      <c r="H148" s="202">
        <f>J147</f>
        <v>4788</v>
      </c>
      <c r="I148" s="287" t="s">
        <v>150</v>
      </c>
      <c r="J148" s="297">
        <v>41</v>
      </c>
      <c r="K148" s="275">
        <v>42</v>
      </c>
      <c r="L148" s="162">
        <v>42</v>
      </c>
      <c r="M148" s="162">
        <v>42</v>
      </c>
      <c r="N148" s="162">
        <v>42</v>
      </c>
      <c r="Q148" s="225"/>
      <c r="R148" s="225"/>
    </row>
    <row r="149" spans="1:18" ht="19.5" x14ac:dyDescent="0.25">
      <c r="A149" s="842"/>
      <c r="B149" s="646"/>
      <c r="C149" s="656"/>
      <c r="D149" s="573"/>
      <c r="E149" s="573"/>
      <c r="F149" s="658"/>
      <c r="G149" s="199">
        <v>2025</v>
      </c>
      <c r="H149" s="191">
        <f>K147</f>
        <v>5316.83</v>
      </c>
      <c r="I149" s="288" t="s">
        <v>15</v>
      </c>
      <c r="J149" s="186">
        <v>20</v>
      </c>
      <c r="K149" s="187">
        <v>21</v>
      </c>
      <c r="L149" s="2">
        <v>21</v>
      </c>
      <c r="M149" s="2">
        <v>21</v>
      </c>
      <c r="N149" s="2">
        <v>21</v>
      </c>
      <c r="Q149" s="225"/>
      <c r="R149" s="225"/>
    </row>
    <row r="150" spans="1:18" ht="19.5" x14ac:dyDescent="0.25">
      <c r="A150" s="842"/>
      <c r="B150" s="646"/>
      <c r="C150" s="656"/>
      <c r="D150" s="573"/>
      <c r="E150" s="573"/>
      <c r="F150" s="658"/>
      <c r="G150" s="199">
        <v>2026</v>
      </c>
      <c r="H150" s="203">
        <f>L147</f>
        <v>5869.7803200000008</v>
      </c>
      <c r="I150" s="288" t="s">
        <v>16</v>
      </c>
      <c r="J150" s="186">
        <v>21</v>
      </c>
      <c r="K150" s="187">
        <v>21</v>
      </c>
      <c r="L150" s="2">
        <v>21</v>
      </c>
      <c r="M150" s="2">
        <v>21</v>
      </c>
      <c r="N150" s="2">
        <v>21</v>
      </c>
      <c r="Q150" s="225"/>
      <c r="R150" s="225"/>
    </row>
    <row r="151" spans="1:18" ht="26.25" x14ac:dyDescent="0.25">
      <c r="A151" s="842"/>
      <c r="B151" s="646"/>
      <c r="C151" s="656"/>
      <c r="D151" s="573"/>
      <c r="E151" s="573"/>
      <c r="F151" s="658"/>
      <c r="G151" s="198">
        <v>2027</v>
      </c>
      <c r="H151" s="191">
        <f>M147</f>
        <v>6216.0973588800016</v>
      </c>
      <c r="I151" s="288" t="s">
        <v>21</v>
      </c>
      <c r="J151" s="196">
        <f>J147/J148</f>
        <v>116.78048780487805</v>
      </c>
      <c r="K151" s="195">
        <f>K147/K148</f>
        <v>126.59119047619048</v>
      </c>
      <c r="L151" s="3">
        <f>L147/L148</f>
        <v>139.7566742857143</v>
      </c>
      <c r="M151" s="3">
        <f>M147/M148</f>
        <v>148.00231806857147</v>
      </c>
      <c r="N151" s="3">
        <f>N147/N148</f>
        <v>156.73445483461722</v>
      </c>
      <c r="Q151" s="225"/>
      <c r="R151" s="225"/>
    </row>
    <row r="152" spans="1:18" ht="27" thickBot="1" x14ac:dyDescent="0.3">
      <c r="A152" s="842"/>
      <c r="B152" s="646"/>
      <c r="C152" s="664"/>
      <c r="D152" s="651"/>
      <c r="E152" s="651"/>
      <c r="F152" s="659"/>
      <c r="G152" s="205">
        <v>2028</v>
      </c>
      <c r="H152" s="204">
        <f>N147</f>
        <v>6582.8471030539231</v>
      </c>
      <c r="I152" s="289" t="s">
        <v>131</v>
      </c>
      <c r="J152" s="161">
        <v>1</v>
      </c>
      <c r="K152" s="158">
        <v>1</v>
      </c>
      <c r="L152" s="24">
        <v>1</v>
      </c>
      <c r="M152" s="24">
        <v>1</v>
      </c>
      <c r="N152" s="24">
        <v>1</v>
      </c>
      <c r="Q152" s="225"/>
      <c r="R152" s="225"/>
    </row>
    <row r="153" spans="1:18" ht="27" thickBot="1" x14ac:dyDescent="0.3">
      <c r="A153" s="842"/>
      <c r="B153" s="646"/>
      <c r="C153" s="701" t="s">
        <v>73</v>
      </c>
      <c r="D153" s="650" t="s">
        <v>222</v>
      </c>
      <c r="E153" s="550" t="s">
        <v>59</v>
      </c>
      <c r="F153" s="703" t="s">
        <v>8</v>
      </c>
      <c r="G153" s="74" t="s">
        <v>9</v>
      </c>
      <c r="H153" s="232">
        <f>H154+H155+H156+H157+H158</f>
        <v>308907.81207964569</v>
      </c>
      <c r="I153" s="174" t="s">
        <v>11</v>
      </c>
      <c r="J153" s="14">
        <f>51109.44</f>
        <v>51109.440000000002</v>
      </c>
      <c r="K153" s="176">
        <f>57145.65</f>
        <v>57145.65</v>
      </c>
      <c r="L153" s="171">
        <f>57145.65*110.4%</f>
        <v>63088.797600000005</v>
      </c>
      <c r="M153" s="171">
        <f>L153*105.9%</f>
        <v>66811.036658400015</v>
      </c>
      <c r="N153" s="171">
        <f>M153*105.9%</f>
        <v>70752.887821245633</v>
      </c>
      <c r="Q153" s="62"/>
      <c r="R153" s="225"/>
    </row>
    <row r="154" spans="1:18" ht="57" customHeight="1" x14ac:dyDescent="0.25">
      <c r="A154" s="842"/>
      <c r="B154" s="646"/>
      <c r="C154" s="702"/>
      <c r="D154" s="573"/>
      <c r="E154" s="551"/>
      <c r="F154" s="704"/>
      <c r="G154" s="189">
        <v>2024</v>
      </c>
      <c r="H154" s="213">
        <f>J153</f>
        <v>51109.440000000002</v>
      </c>
      <c r="I154" s="287" t="s">
        <v>74</v>
      </c>
      <c r="J154" s="297">
        <v>6</v>
      </c>
      <c r="K154" s="275">
        <v>6</v>
      </c>
      <c r="L154" s="162">
        <v>6</v>
      </c>
      <c r="M154" s="162">
        <v>6</v>
      </c>
      <c r="N154" s="162">
        <v>6</v>
      </c>
      <c r="Q154" s="225"/>
      <c r="R154" s="225"/>
    </row>
    <row r="155" spans="1:18" ht="19.5" x14ac:dyDescent="0.25">
      <c r="A155" s="842"/>
      <c r="B155" s="646"/>
      <c r="C155" s="702"/>
      <c r="D155" s="573"/>
      <c r="E155" s="551"/>
      <c r="F155" s="704"/>
      <c r="G155" s="199">
        <v>2025</v>
      </c>
      <c r="H155" s="214">
        <f>K153</f>
        <v>57145.65</v>
      </c>
      <c r="I155" s="288" t="s">
        <v>15</v>
      </c>
      <c r="J155" s="186">
        <v>3</v>
      </c>
      <c r="K155" s="187">
        <v>3</v>
      </c>
      <c r="L155" s="2">
        <v>3</v>
      </c>
      <c r="M155" s="2">
        <v>3</v>
      </c>
      <c r="N155" s="2">
        <v>3</v>
      </c>
      <c r="Q155" s="225"/>
      <c r="R155" s="225"/>
    </row>
    <row r="156" spans="1:18" ht="19.5" x14ac:dyDescent="0.25">
      <c r="A156" s="842"/>
      <c r="B156" s="646"/>
      <c r="C156" s="702"/>
      <c r="D156" s="573"/>
      <c r="E156" s="551"/>
      <c r="F156" s="704"/>
      <c r="G156" s="199">
        <v>2026</v>
      </c>
      <c r="H156" s="233">
        <f>L153</f>
        <v>63088.797600000005</v>
      </c>
      <c r="I156" s="288" t="s">
        <v>16</v>
      </c>
      <c r="J156" s="186">
        <v>3</v>
      </c>
      <c r="K156" s="187">
        <v>3</v>
      </c>
      <c r="L156" s="2">
        <v>3</v>
      </c>
      <c r="M156" s="2">
        <v>3</v>
      </c>
      <c r="N156" s="2">
        <v>3</v>
      </c>
      <c r="Q156" s="225"/>
      <c r="R156" s="225"/>
    </row>
    <row r="157" spans="1:18" ht="26.25" x14ac:dyDescent="0.25">
      <c r="A157" s="842"/>
      <c r="B157" s="646"/>
      <c r="C157" s="702"/>
      <c r="D157" s="573"/>
      <c r="E157" s="551"/>
      <c r="F157" s="704"/>
      <c r="G157" s="198">
        <v>2027</v>
      </c>
      <c r="H157" s="214">
        <f>M153</f>
        <v>66811.036658400015</v>
      </c>
      <c r="I157" s="288" t="s">
        <v>21</v>
      </c>
      <c r="J157" s="196">
        <f>J153/J154</f>
        <v>8518.24</v>
      </c>
      <c r="K157" s="195">
        <f>K153/K154</f>
        <v>9524.2749999999996</v>
      </c>
      <c r="L157" s="3">
        <f>L153/L154</f>
        <v>10514.7996</v>
      </c>
      <c r="M157" s="3">
        <f>M153/M154</f>
        <v>11135.172776400002</v>
      </c>
      <c r="N157" s="3">
        <f>N153/N154</f>
        <v>11792.147970207605</v>
      </c>
      <c r="Q157" s="225"/>
      <c r="R157" s="225"/>
    </row>
    <row r="158" spans="1:18" ht="27" thickBot="1" x14ac:dyDescent="0.3">
      <c r="A158" s="842"/>
      <c r="B158" s="646"/>
      <c r="C158" s="702"/>
      <c r="D158" s="651"/>
      <c r="E158" s="552"/>
      <c r="F158" s="705"/>
      <c r="G158" s="205">
        <v>2028</v>
      </c>
      <c r="H158" s="234">
        <f>N153</f>
        <v>70752.887821245633</v>
      </c>
      <c r="I158" s="298" t="s">
        <v>131</v>
      </c>
      <c r="J158" s="155">
        <v>1</v>
      </c>
      <c r="K158" s="286">
        <v>1</v>
      </c>
      <c r="L158" s="55">
        <v>1</v>
      </c>
      <c r="M158" s="55">
        <v>1</v>
      </c>
      <c r="N158" s="55">
        <v>1</v>
      </c>
      <c r="Q158" s="225"/>
      <c r="R158" s="225"/>
    </row>
    <row r="159" spans="1:18" ht="27" thickBot="1" x14ac:dyDescent="0.3">
      <c r="A159" s="842"/>
      <c r="B159" s="646"/>
      <c r="C159" s="653" t="s">
        <v>40</v>
      </c>
      <c r="D159" s="650" t="s">
        <v>222</v>
      </c>
      <c r="E159" s="650" t="s">
        <v>59</v>
      </c>
      <c r="F159" s="660" t="s">
        <v>8</v>
      </c>
      <c r="G159" s="74" t="s">
        <v>9</v>
      </c>
      <c r="H159" s="197">
        <f>H160+H161+H162+H163+H164</f>
        <v>178650.5089451418</v>
      </c>
      <c r="I159" s="174" t="s">
        <v>11</v>
      </c>
      <c r="J159" s="14">
        <v>29985.66</v>
      </c>
      <c r="K159" s="176">
        <f>32954.24</f>
        <v>32954.239999999998</v>
      </c>
      <c r="L159" s="171">
        <f>32954.24*110.4%</f>
        <v>36381.480960000001</v>
      </c>
      <c r="M159" s="171">
        <f>L159*105.9%</f>
        <v>38527.98833664001</v>
      </c>
      <c r="N159" s="171">
        <f>M159*105.9%</f>
        <v>40801.139648501776</v>
      </c>
      <c r="Q159" s="62"/>
      <c r="R159" s="225"/>
    </row>
    <row r="160" spans="1:18" ht="51.75" x14ac:dyDescent="0.25">
      <c r="A160" s="842"/>
      <c r="B160" s="646"/>
      <c r="C160" s="654"/>
      <c r="D160" s="573"/>
      <c r="E160" s="573"/>
      <c r="F160" s="661"/>
      <c r="G160" s="189">
        <v>2024</v>
      </c>
      <c r="H160" s="202">
        <f>J159</f>
        <v>29985.66</v>
      </c>
      <c r="I160" s="295" t="s">
        <v>236</v>
      </c>
      <c r="J160" s="165">
        <v>1</v>
      </c>
      <c r="K160" s="275">
        <v>1</v>
      </c>
      <c r="L160" s="162">
        <v>1</v>
      </c>
      <c r="M160" s="162">
        <v>1</v>
      </c>
      <c r="N160" s="162">
        <v>1</v>
      </c>
      <c r="Q160" s="225"/>
      <c r="R160" s="225"/>
    </row>
    <row r="161" spans="1:18" ht="27" customHeight="1" x14ac:dyDescent="0.25">
      <c r="A161" s="842"/>
      <c r="B161" s="646"/>
      <c r="C161" s="654"/>
      <c r="D161" s="573"/>
      <c r="E161" s="573"/>
      <c r="F161" s="661"/>
      <c r="G161" s="199">
        <v>2025</v>
      </c>
      <c r="H161" s="191">
        <f>K159</f>
        <v>32954.239999999998</v>
      </c>
      <c r="I161" s="568" t="s">
        <v>21</v>
      </c>
      <c r="J161" s="599">
        <f>J159/J160</f>
        <v>29985.66</v>
      </c>
      <c r="K161" s="597">
        <f>K159/K160</f>
        <v>32954.239999999998</v>
      </c>
      <c r="L161" s="599">
        <f>L159/L160</f>
        <v>36381.480960000001</v>
      </c>
      <c r="M161" s="599">
        <f>M159/M160</f>
        <v>38527.98833664001</v>
      </c>
      <c r="N161" s="599">
        <f>N159/N160</f>
        <v>40801.139648501776</v>
      </c>
      <c r="Q161" s="225"/>
      <c r="R161" s="225"/>
    </row>
    <row r="162" spans="1:18" ht="24.6" customHeight="1" x14ac:dyDescent="0.25">
      <c r="A162" s="842"/>
      <c r="B162" s="646"/>
      <c r="C162" s="654"/>
      <c r="D162" s="573"/>
      <c r="E162" s="573"/>
      <c r="F162" s="662"/>
      <c r="G162" s="199">
        <v>2026</v>
      </c>
      <c r="H162" s="192">
        <f>L159</f>
        <v>36381.480960000001</v>
      </c>
      <c r="I162" s="590"/>
      <c r="J162" s="600"/>
      <c r="K162" s="598"/>
      <c r="L162" s="600"/>
      <c r="M162" s="600"/>
      <c r="N162" s="600"/>
      <c r="Q162" s="225"/>
      <c r="R162" s="225"/>
    </row>
    <row r="163" spans="1:18" ht="22.15" customHeight="1" x14ac:dyDescent="0.25">
      <c r="A163" s="842"/>
      <c r="B163" s="646"/>
      <c r="C163" s="654"/>
      <c r="D163" s="573"/>
      <c r="E163" s="573"/>
      <c r="F163" s="662"/>
      <c r="G163" s="198">
        <v>2027</v>
      </c>
      <c r="H163" s="192">
        <f>M159</f>
        <v>38527.98833664001</v>
      </c>
      <c r="I163" s="616" t="s">
        <v>131</v>
      </c>
      <c r="J163" s="581">
        <v>1</v>
      </c>
      <c r="K163" s="584">
        <v>1</v>
      </c>
      <c r="L163" s="581">
        <v>1</v>
      </c>
      <c r="M163" s="581">
        <v>1</v>
      </c>
      <c r="N163" s="581">
        <v>1</v>
      </c>
      <c r="Q163" s="225"/>
      <c r="R163" s="225"/>
    </row>
    <row r="164" spans="1:18" ht="22.15" customHeight="1" thickBot="1" x14ac:dyDescent="0.3">
      <c r="A164" s="842"/>
      <c r="B164" s="646"/>
      <c r="C164" s="654"/>
      <c r="D164" s="651"/>
      <c r="E164" s="651"/>
      <c r="F164" s="663"/>
      <c r="G164" s="205">
        <v>2028</v>
      </c>
      <c r="H164" s="235">
        <f>N159</f>
        <v>40801.139648501776</v>
      </c>
      <c r="I164" s="617"/>
      <c r="J164" s="583"/>
      <c r="K164" s="589"/>
      <c r="L164" s="583"/>
      <c r="M164" s="583"/>
      <c r="N164" s="583"/>
      <c r="Q164" s="225"/>
      <c r="R164" s="225"/>
    </row>
    <row r="165" spans="1:18" ht="27" thickBot="1" x14ac:dyDescent="0.3">
      <c r="A165" s="842"/>
      <c r="B165" s="646"/>
      <c r="C165" s="655" t="s">
        <v>41</v>
      </c>
      <c r="D165" s="650" t="s">
        <v>222</v>
      </c>
      <c r="E165" s="650" t="s">
        <v>59</v>
      </c>
      <c r="F165" s="665" t="s">
        <v>8</v>
      </c>
      <c r="G165" s="74" t="s">
        <v>9</v>
      </c>
      <c r="H165" s="197">
        <f>H166+H167+H168+H169+H170</f>
        <v>163453.23872454211</v>
      </c>
      <c r="I165" s="174" t="s">
        <v>11</v>
      </c>
      <c r="J165" s="14">
        <v>27434.87</v>
      </c>
      <c r="K165" s="176">
        <f>30150.92</f>
        <v>30150.92</v>
      </c>
      <c r="L165" s="171">
        <f>30150.92*110.4%</f>
        <v>33286.615680000003</v>
      </c>
      <c r="M165" s="171">
        <f>L165*105.9%</f>
        <v>35250.526005120009</v>
      </c>
      <c r="N165" s="171">
        <f>M165*105.9%</f>
        <v>37330.307039422092</v>
      </c>
      <c r="Q165" s="62"/>
      <c r="R165" s="225"/>
    </row>
    <row r="166" spans="1:18" ht="51.75" x14ac:dyDescent="0.25">
      <c r="A166" s="842"/>
      <c r="B166" s="646"/>
      <c r="C166" s="656"/>
      <c r="D166" s="573"/>
      <c r="E166" s="573"/>
      <c r="F166" s="666"/>
      <c r="G166" s="189">
        <v>2024</v>
      </c>
      <c r="H166" s="202">
        <f>J165</f>
        <v>27434.87</v>
      </c>
      <c r="I166" s="287" t="s">
        <v>233</v>
      </c>
      <c r="J166" s="299">
        <v>10</v>
      </c>
      <c r="K166" s="275">
        <v>10</v>
      </c>
      <c r="L166" s="162">
        <v>10</v>
      </c>
      <c r="M166" s="162">
        <v>10</v>
      </c>
      <c r="N166" s="162">
        <v>10</v>
      </c>
      <c r="Q166" s="225"/>
      <c r="R166" s="225"/>
    </row>
    <row r="167" spans="1:18" ht="19.5" x14ac:dyDescent="0.25">
      <c r="A167" s="842"/>
      <c r="B167" s="646"/>
      <c r="C167" s="656"/>
      <c r="D167" s="573"/>
      <c r="E167" s="573"/>
      <c r="F167" s="666"/>
      <c r="G167" s="199">
        <v>2025</v>
      </c>
      <c r="H167" s="191">
        <f>K165</f>
        <v>30150.92</v>
      </c>
      <c r="I167" s="288" t="s">
        <v>15</v>
      </c>
      <c r="J167" s="187">
        <v>6</v>
      </c>
      <c r="K167" s="187">
        <v>6</v>
      </c>
      <c r="L167" s="2">
        <v>6</v>
      </c>
      <c r="M167" s="2">
        <v>6</v>
      </c>
      <c r="N167" s="2">
        <v>6</v>
      </c>
      <c r="Q167" s="225"/>
      <c r="R167" s="225"/>
    </row>
    <row r="168" spans="1:18" ht="19.5" x14ac:dyDescent="0.25">
      <c r="A168" s="842"/>
      <c r="B168" s="646"/>
      <c r="C168" s="656"/>
      <c r="D168" s="573"/>
      <c r="E168" s="573"/>
      <c r="F168" s="666"/>
      <c r="G168" s="199">
        <v>2026</v>
      </c>
      <c r="H168" s="203">
        <f>L165</f>
        <v>33286.615680000003</v>
      </c>
      <c r="I168" s="288" t="s">
        <v>16</v>
      </c>
      <c r="J168" s="187">
        <v>4</v>
      </c>
      <c r="K168" s="187">
        <v>4</v>
      </c>
      <c r="L168" s="2">
        <v>4</v>
      </c>
      <c r="M168" s="2">
        <v>4</v>
      </c>
      <c r="N168" s="2">
        <v>4</v>
      </c>
      <c r="Q168" s="225"/>
      <c r="R168" s="225"/>
    </row>
    <row r="169" spans="1:18" ht="26.25" x14ac:dyDescent="0.25">
      <c r="A169" s="842"/>
      <c r="B169" s="646"/>
      <c r="C169" s="656"/>
      <c r="D169" s="573"/>
      <c r="E169" s="573"/>
      <c r="F169" s="666"/>
      <c r="G169" s="198">
        <v>2027</v>
      </c>
      <c r="H169" s="191">
        <f>M165</f>
        <v>35250.526005120009</v>
      </c>
      <c r="I169" s="288" t="s">
        <v>21</v>
      </c>
      <c r="J169" s="195">
        <f>J165/J166</f>
        <v>2743.4870000000001</v>
      </c>
      <c r="K169" s="195">
        <f>K165/K166</f>
        <v>3015.0919999999996</v>
      </c>
      <c r="L169" s="3">
        <f>L165/L166</f>
        <v>3328.6615680000004</v>
      </c>
      <c r="M169" s="3">
        <f>M165/M166</f>
        <v>3525.0526005120009</v>
      </c>
      <c r="N169" s="3">
        <f>N165/N166</f>
        <v>3733.0307039422091</v>
      </c>
      <c r="Q169" s="225"/>
      <c r="R169" s="225"/>
    </row>
    <row r="170" spans="1:18" ht="27" thickBot="1" x14ac:dyDescent="0.3">
      <c r="A170" s="842"/>
      <c r="B170" s="646"/>
      <c r="C170" s="664"/>
      <c r="D170" s="651"/>
      <c r="E170" s="651"/>
      <c r="F170" s="667"/>
      <c r="G170" s="205">
        <v>2028</v>
      </c>
      <c r="H170" s="204">
        <f>N165</f>
        <v>37330.307039422092</v>
      </c>
      <c r="I170" s="288" t="s">
        <v>131</v>
      </c>
      <c r="J170" s="291">
        <v>1</v>
      </c>
      <c r="K170" s="291">
        <v>1</v>
      </c>
      <c r="L170" s="39">
        <v>1</v>
      </c>
      <c r="M170" s="39">
        <v>1</v>
      </c>
      <c r="N170" s="39">
        <v>1</v>
      </c>
      <c r="Q170" s="225"/>
      <c r="R170" s="225"/>
    </row>
    <row r="171" spans="1:18" ht="27" thickBot="1" x14ac:dyDescent="0.3">
      <c r="A171" s="842"/>
      <c r="B171" s="646"/>
      <c r="C171" s="653" t="s">
        <v>42</v>
      </c>
      <c r="D171" s="650" t="s">
        <v>222</v>
      </c>
      <c r="E171" s="650" t="s">
        <v>59</v>
      </c>
      <c r="F171" s="657" t="s">
        <v>8</v>
      </c>
      <c r="G171" s="74" t="s">
        <v>9</v>
      </c>
      <c r="H171" s="197">
        <f>H172+H173+H174+H175+H176</f>
        <v>6526.22470915136</v>
      </c>
      <c r="I171" s="174" t="s">
        <v>11</v>
      </c>
      <c r="J171" s="176">
        <v>979.01</v>
      </c>
      <c r="K171" s="176">
        <f>1229.64</f>
        <v>1229.6400000000001</v>
      </c>
      <c r="L171" s="171">
        <f>1229.64*110.4%</f>
        <v>1357.5225600000001</v>
      </c>
      <c r="M171" s="171">
        <f>L171*105.9%</f>
        <v>1437.6163910400003</v>
      </c>
      <c r="N171" s="171">
        <f>M171*105.9%</f>
        <v>1522.4357581113604</v>
      </c>
      <c r="Q171" s="62"/>
      <c r="R171" s="225"/>
    </row>
    <row r="172" spans="1:18" ht="64.5" x14ac:dyDescent="0.25">
      <c r="A172" s="842"/>
      <c r="B172" s="646"/>
      <c r="C172" s="654"/>
      <c r="D172" s="573"/>
      <c r="E172" s="573"/>
      <c r="F172" s="658"/>
      <c r="G172" s="189">
        <v>2024</v>
      </c>
      <c r="H172" s="202">
        <f>J171</f>
        <v>979.01</v>
      </c>
      <c r="I172" s="295" t="s">
        <v>153</v>
      </c>
      <c r="J172" s="275">
        <v>7</v>
      </c>
      <c r="K172" s="275">
        <v>8</v>
      </c>
      <c r="L172" s="162">
        <v>8</v>
      </c>
      <c r="M172" s="162">
        <v>8</v>
      </c>
      <c r="N172" s="162">
        <v>8</v>
      </c>
      <c r="Q172" s="225"/>
      <c r="R172" s="225"/>
    </row>
    <row r="173" spans="1:18" ht="19.5" x14ac:dyDescent="0.25">
      <c r="A173" s="842"/>
      <c r="B173" s="646"/>
      <c r="C173" s="654"/>
      <c r="D173" s="573"/>
      <c r="E173" s="573"/>
      <c r="F173" s="658"/>
      <c r="G173" s="199">
        <v>2025</v>
      </c>
      <c r="H173" s="191">
        <f>K171</f>
        <v>1229.6400000000001</v>
      </c>
      <c r="I173" s="288" t="s">
        <v>15</v>
      </c>
      <c r="J173" s="187">
        <v>4</v>
      </c>
      <c r="K173" s="187">
        <v>4</v>
      </c>
      <c r="L173" s="2">
        <v>4</v>
      </c>
      <c r="M173" s="2">
        <v>4</v>
      </c>
      <c r="N173" s="2">
        <v>4</v>
      </c>
      <c r="Q173" s="225"/>
      <c r="R173" s="225"/>
    </row>
    <row r="174" spans="1:18" ht="19.5" x14ac:dyDescent="0.25">
      <c r="A174" s="842"/>
      <c r="B174" s="646"/>
      <c r="C174" s="654"/>
      <c r="D174" s="573"/>
      <c r="E174" s="573"/>
      <c r="F174" s="658"/>
      <c r="G174" s="199">
        <v>2026</v>
      </c>
      <c r="H174" s="203">
        <f>L171</f>
        <v>1357.5225600000001</v>
      </c>
      <c r="I174" s="288" t="s">
        <v>16</v>
      </c>
      <c r="J174" s="187">
        <v>3</v>
      </c>
      <c r="K174" s="187">
        <v>4</v>
      </c>
      <c r="L174" s="2">
        <v>4</v>
      </c>
      <c r="M174" s="2">
        <v>4</v>
      </c>
      <c r="N174" s="2">
        <v>4</v>
      </c>
      <c r="Q174" s="225"/>
      <c r="R174" s="225"/>
    </row>
    <row r="175" spans="1:18" ht="26.25" x14ac:dyDescent="0.25">
      <c r="A175" s="842"/>
      <c r="B175" s="646"/>
      <c r="C175" s="654"/>
      <c r="D175" s="573"/>
      <c r="E175" s="573"/>
      <c r="F175" s="658"/>
      <c r="G175" s="199">
        <v>2027</v>
      </c>
      <c r="H175" s="191">
        <f>M171</f>
        <v>1437.6163910400003</v>
      </c>
      <c r="I175" s="288" t="s">
        <v>10</v>
      </c>
      <c r="J175" s="195">
        <f>J171/J172</f>
        <v>139.85857142857142</v>
      </c>
      <c r="K175" s="195">
        <f>K171/K172</f>
        <v>153.70500000000001</v>
      </c>
      <c r="L175" s="3">
        <f>L171/L172</f>
        <v>169.69032000000001</v>
      </c>
      <c r="M175" s="3">
        <f>M171/M172</f>
        <v>179.70204888000004</v>
      </c>
      <c r="N175" s="3">
        <f>N171/N172</f>
        <v>190.30446976392005</v>
      </c>
      <c r="Q175" s="225"/>
      <c r="R175" s="225"/>
    </row>
    <row r="176" spans="1:18" ht="27" thickBot="1" x14ac:dyDescent="0.3">
      <c r="A176" s="842"/>
      <c r="B176" s="646"/>
      <c r="C176" s="654"/>
      <c r="D176" s="651"/>
      <c r="E176" s="651"/>
      <c r="F176" s="659"/>
      <c r="G176" s="205">
        <v>2028</v>
      </c>
      <c r="H176" s="204">
        <f>N171</f>
        <v>1522.4357581113604</v>
      </c>
      <c r="I176" s="288" t="s">
        <v>131</v>
      </c>
      <c r="J176" s="291">
        <v>1</v>
      </c>
      <c r="K176" s="291">
        <v>1</v>
      </c>
      <c r="L176" s="39">
        <v>1</v>
      </c>
      <c r="M176" s="39">
        <v>1</v>
      </c>
      <c r="N176" s="39">
        <v>1</v>
      </c>
      <c r="Q176" s="225"/>
      <c r="R176" s="225"/>
    </row>
    <row r="177" spans="1:18" ht="27" thickBot="1" x14ac:dyDescent="0.3">
      <c r="A177" s="842"/>
      <c r="B177" s="646"/>
      <c r="C177" s="653" t="s">
        <v>112</v>
      </c>
      <c r="D177" s="650" t="s">
        <v>222</v>
      </c>
      <c r="E177" s="650" t="s">
        <v>59</v>
      </c>
      <c r="F177" s="660" t="s">
        <v>8</v>
      </c>
      <c r="G177" s="74" t="s">
        <v>9</v>
      </c>
      <c r="H177" s="197">
        <f>H178+H179+H180+H181+H182</f>
        <v>56588.490003936495</v>
      </c>
      <c r="I177" s="174" t="s">
        <v>11</v>
      </c>
      <c r="J177" s="176">
        <v>9377.0300000000007</v>
      </c>
      <c r="K177" s="176">
        <f>10465.27</f>
        <v>10465.27</v>
      </c>
      <c r="L177" s="171">
        <f>10465.27*110.4%</f>
        <v>11553.658080000001</v>
      </c>
      <c r="M177" s="171">
        <f>L177*105.9%</f>
        <v>12235.323906720003</v>
      </c>
      <c r="N177" s="171">
        <f>M177*105.9%</f>
        <v>12957.208017216484</v>
      </c>
      <c r="Q177" s="62"/>
      <c r="R177" s="225"/>
    </row>
    <row r="178" spans="1:18" ht="90" x14ac:dyDescent="0.25">
      <c r="A178" s="842"/>
      <c r="B178" s="646"/>
      <c r="C178" s="654"/>
      <c r="D178" s="573"/>
      <c r="E178" s="573"/>
      <c r="F178" s="661"/>
      <c r="G178" s="198">
        <v>2024</v>
      </c>
      <c r="H178" s="202">
        <f>J177</f>
        <v>9377.0300000000007</v>
      </c>
      <c r="I178" s="295" t="s">
        <v>75</v>
      </c>
      <c r="J178" s="292">
        <f>J179+J180</f>
        <v>164</v>
      </c>
      <c r="K178" s="297">
        <f>K179+K180</f>
        <v>164</v>
      </c>
      <c r="L178" s="162">
        <v>170</v>
      </c>
      <c r="M178" s="162">
        <v>175</v>
      </c>
      <c r="N178" s="162">
        <v>180</v>
      </c>
      <c r="Q178" s="225"/>
      <c r="R178" s="225"/>
    </row>
    <row r="179" spans="1:18" ht="19.5" x14ac:dyDescent="0.25">
      <c r="A179" s="842"/>
      <c r="B179" s="646"/>
      <c r="C179" s="654"/>
      <c r="D179" s="573"/>
      <c r="E179" s="573"/>
      <c r="F179" s="661"/>
      <c r="G179" s="199">
        <v>2025</v>
      </c>
      <c r="H179" s="191">
        <f>K177</f>
        <v>10465.27</v>
      </c>
      <c r="I179" s="288" t="s">
        <v>15</v>
      </c>
      <c r="J179" s="293">
        <v>99</v>
      </c>
      <c r="K179" s="186">
        <v>99</v>
      </c>
      <c r="L179" s="2">
        <v>100</v>
      </c>
      <c r="M179" s="2">
        <v>108</v>
      </c>
      <c r="N179" s="2">
        <v>105</v>
      </c>
      <c r="Q179" s="225"/>
      <c r="R179" s="225"/>
    </row>
    <row r="180" spans="1:18" ht="19.5" x14ac:dyDescent="0.25">
      <c r="A180" s="842"/>
      <c r="B180" s="646"/>
      <c r="C180" s="654"/>
      <c r="D180" s="573"/>
      <c r="E180" s="573"/>
      <c r="F180" s="661"/>
      <c r="G180" s="199">
        <v>2026</v>
      </c>
      <c r="H180" s="203">
        <f>L177</f>
        <v>11553.658080000001</v>
      </c>
      <c r="I180" s="288" t="s">
        <v>16</v>
      </c>
      <c r="J180" s="293">
        <f>49+16</f>
        <v>65</v>
      </c>
      <c r="K180" s="186">
        <v>65</v>
      </c>
      <c r="L180" s="2">
        <v>70</v>
      </c>
      <c r="M180" s="2">
        <v>67</v>
      </c>
      <c r="N180" s="2">
        <v>75</v>
      </c>
      <c r="Q180" s="225"/>
      <c r="R180" s="225"/>
    </row>
    <row r="181" spans="1:18" ht="26.25" x14ac:dyDescent="0.25">
      <c r="A181" s="842"/>
      <c r="B181" s="646"/>
      <c r="C181" s="654"/>
      <c r="D181" s="573"/>
      <c r="E181" s="573"/>
      <c r="F181" s="661"/>
      <c r="G181" s="198">
        <v>2027</v>
      </c>
      <c r="H181" s="191">
        <f>M177</f>
        <v>12235.323906720003</v>
      </c>
      <c r="I181" s="288" t="s">
        <v>21</v>
      </c>
      <c r="J181" s="294">
        <f>J177/J178</f>
        <v>57.177012195121954</v>
      </c>
      <c r="K181" s="196">
        <f>K177/K178</f>
        <v>63.812621951219512</v>
      </c>
      <c r="L181" s="3">
        <f>L177/L178</f>
        <v>67.962694588235294</v>
      </c>
      <c r="M181" s="3">
        <f>M177/M178</f>
        <v>69.916136609828584</v>
      </c>
      <c r="N181" s="3">
        <f>N177/N178</f>
        <v>71.984488984536029</v>
      </c>
      <c r="Q181" s="225"/>
      <c r="R181" s="225"/>
    </row>
    <row r="182" spans="1:18" ht="27" thickBot="1" x14ac:dyDescent="0.3">
      <c r="A182" s="842"/>
      <c r="B182" s="646"/>
      <c r="C182" s="654"/>
      <c r="D182" s="651"/>
      <c r="E182" s="651"/>
      <c r="F182" s="663"/>
      <c r="G182" s="205">
        <v>2028</v>
      </c>
      <c r="H182" s="204">
        <f>N177</f>
        <v>12957.208017216484</v>
      </c>
      <c r="I182" s="288" t="s">
        <v>131</v>
      </c>
      <c r="J182" s="300">
        <v>1</v>
      </c>
      <c r="K182" s="296">
        <v>1</v>
      </c>
      <c r="L182" s="39">
        <v>1</v>
      </c>
      <c r="M182" s="39">
        <v>1</v>
      </c>
      <c r="N182" s="39">
        <v>1</v>
      </c>
      <c r="Q182" s="225"/>
      <c r="R182" s="225"/>
    </row>
    <row r="183" spans="1:18" ht="27" thickBot="1" x14ac:dyDescent="0.3">
      <c r="A183" s="842"/>
      <c r="B183" s="646"/>
      <c r="C183" s="653" t="s">
        <v>113</v>
      </c>
      <c r="D183" s="650" t="s">
        <v>222</v>
      </c>
      <c r="E183" s="706" t="s">
        <v>59</v>
      </c>
      <c r="F183" s="650" t="s">
        <v>8</v>
      </c>
      <c r="G183" s="74" t="s">
        <v>9</v>
      </c>
      <c r="H183" s="197">
        <f>H184+H185+H186+H187+H188</f>
        <v>7808.6559749696016</v>
      </c>
      <c r="I183" s="174" t="s">
        <v>11</v>
      </c>
      <c r="J183" s="14">
        <v>1310.6500000000001</v>
      </c>
      <c r="K183" s="176">
        <f>1440.4</f>
        <v>1440.4</v>
      </c>
      <c r="L183" s="171">
        <f>1440.4*110.4%</f>
        <v>1590.2016000000003</v>
      </c>
      <c r="M183" s="171">
        <f>L183*105.9%</f>
        <v>1684.0234944000006</v>
      </c>
      <c r="N183" s="171">
        <f>M183*105.9%</f>
        <v>1783.3808805696008</v>
      </c>
      <c r="Q183" s="62"/>
      <c r="R183" s="225"/>
    </row>
    <row r="184" spans="1:18" ht="90" x14ac:dyDescent="0.25">
      <c r="A184" s="842"/>
      <c r="B184" s="646"/>
      <c r="C184" s="654"/>
      <c r="D184" s="573"/>
      <c r="E184" s="574"/>
      <c r="F184" s="573"/>
      <c r="G184" s="198">
        <v>2024</v>
      </c>
      <c r="H184" s="202">
        <f>J183</f>
        <v>1310.6500000000001</v>
      </c>
      <c r="I184" s="287" t="s">
        <v>76</v>
      </c>
      <c r="J184" s="165">
        <f>J185+J186</f>
        <v>34</v>
      </c>
      <c r="K184" s="275">
        <f>K185+K186</f>
        <v>34</v>
      </c>
      <c r="L184" s="162">
        <v>36</v>
      </c>
      <c r="M184" s="162">
        <v>38</v>
      </c>
      <c r="N184" s="162">
        <v>40</v>
      </c>
      <c r="Q184" s="225"/>
      <c r="R184" s="225"/>
    </row>
    <row r="185" spans="1:18" ht="19.5" x14ac:dyDescent="0.25">
      <c r="A185" s="842"/>
      <c r="B185" s="646"/>
      <c r="C185" s="654"/>
      <c r="D185" s="573"/>
      <c r="E185" s="574"/>
      <c r="F185" s="573"/>
      <c r="G185" s="199">
        <v>2025</v>
      </c>
      <c r="H185" s="191">
        <f>K183</f>
        <v>1440.4</v>
      </c>
      <c r="I185" s="288" t="s">
        <v>52</v>
      </c>
      <c r="J185" s="186">
        <v>18</v>
      </c>
      <c r="K185" s="187">
        <v>18</v>
      </c>
      <c r="L185" s="2">
        <v>19</v>
      </c>
      <c r="M185" s="2">
        <v>20</v>
      </c>
      <c r="N185" s="2">
        <v>21</v>
      </c>
      <c r="Q185" s="225"/>
      <c r="R185" s="225"/>
    </row>
    <row r="186" spans="1:18" ht="19.5" x14ac:dyDescent="0.25">
      <c r="A186" s="842"/>
      <c r="B186" s="646"/>
      <c r="C186" s="654"/>
      <c r="D186" s="573"/>
      <c r="E186" s="574"/>
      <c r="F186" s="573"/>
      <c r="G186" s="199">
        <v>2026</v>
      </c>
      <c r="H186" s="203">
        <f>L183</f>
        <v>1590.2016000000003</v>
      </c>
      <c r="I186" s="288" t="s">
        <v>53</v>
      </c>
      <c r="J186" s="186">
        <v>16</v>
      </c>
      <c r="K186" s="187">
        <v>16</v>
      </c>
      <c r="L186" s="2">
        <v>17</v>
      </c>
      <c r="M186" s="2">
        <v>18</v>
      </c>
      <c r="N186" s="2">
        <v>19</v>
      </c>
      <c r="Q186" s="225"/>
      <c r="R186" s="225"/>
    </row>
    <row r="187" spans="1:18" ht="26.25" x14ac:dyDescent="0.25">
      <c r="A187" s="842"/>
      <c r="B187" s="646"/>
      <c r="C187" s="654"/>
      <c r="D187" s="573"/>
      <c r="E187" s="574"/>
      <c r="F187" s="573"/>
      <c r="G187" s="198">
        <v>2027</v>
      </c>
      <c r="H187" s="191">
        <f>M183</f>
        <v>1684.0234944000006</v>
      </c>
      <c r="I187" s="288" t="s">
        <v>10</v>
      </c>
      <c r="J187" s="196">
        <f>J183/J184</f>
        <v>38.548529411764711</v>
      </c>
      <c r="K187" s="195">
        <f>K183/K184</f>
        <v>42.364705882352943</v>
      </c>
      <c r="L187" s="3">
        <f>L183/L184</f>
        <v>44.172266666666673</v>
      </c>
      <c r="M187" s="3">
        <f>M183/M184</f>
        <v>44.316407747368437</v>
      </c>
      <c r="N187" s="3">
        <f>N183/N184</f>
        <v>44.584522014240022</v>
      </c>
      <c r="Q187" s="225"/>
      <c r="R187" s="225"/>
    </row>
    <row r="188" spans="1:18" ht="27" thickBot="1" x14ac:dyDescent="0.3">
      <c r="A188" s="842"/>
      <c r="B188" s="646"/>
      <c r="C188" s="654"/>
      <c r="D188" s="651"/>
      <c r="E188" s="574"/>
      <c r="F188" s="651"/>
      <c r="G188" s="205">
        <v>2028</v>
      </c>
      <c r="H188" s="204">
        <f>N183</f>
        <v>1783.3808805696008</v>
      </c>
      <c r="I188" s="288" t="s">
        <v>131</v>
      </c>
      <c r="J188" s="296">
        <v>1</v>
      </c>
      <c r="K188" s="291">
        <v>1</v>
      </c>
      <c r="L188" s="39">
        <v>1</v>
      </c>
      <c r="M188" s="39">
        <v>1</v>
      </c>
      <c r="N188" s="39">
        <v>1</v>
      </c>
      <c r="Q188" s="225"/>
      <c r="R188" s="225"/>
    </row>
    <row r="189" spans="1:18" ht="27" thickBot="1" x14ac:dyDescent="0.3">
      <c r="A189" s="842"/>
      <c r="B189" s="646"/>
      <c r="C189" s="653" t="s">
        <v>77</v>
      </c>
      <c r="D189" s="650" t="s">
        <v>222</v>
      </c>
      <c r="E189" s="650" t="s">
        <v>59</v>
      </c>
      <c r="F189" s="657" t="s">
        <v>8</v>
      </c>
      <c r="G189" s="74" t="s">
        <v>9</v>
      </c>
      <c r="H189" s="197">
        <f>H190+H191+H192+H193+H194</f>
        <v>17042.457611779842</v>
      </c>
      <c r="I189" s="174" t="s">
        <v>11</v>
      </c>
      <c r="J189" s="14">
        <v>2452.35</v>
      </c>
      <c r="K189" s="176">
        <f>3234.16</f>
        <v>3234.16</v>
      </c>
      <c r="L189" s="171">
        <f>3234.16*110.4%</f>
        <v>3570.5126399999999</v>
      </c>
      <c r="M189" s="171">
        <f>L189*105.9%</f>
        <v>3781.1728857600006</v>
      </c>
      <c r="N189" s="171">
        <f>M189*105.9%</f>
        <v>4004.2620860198413</v>
      </c>
      <c r="Q189" s="62"/>
      <c r="R189" s="225"/>
    </row>
    <row r="190" spans="1:18" ht="51.75" x14ac:dyDescent="0.25">
      <c r="A190" s="842"/>
      <c r="B190" s="646"/>
      <c r="C190" s="654"/>
      <c r="D190" s="573"/>
      <c r="E190" s="573"/>
      <c r="F190" s="658"/>
      <c r="G190" s="189">
        <v>2024</v>
      </c>
      <c r="H190" s="202">
        <f>J189</f>
        <v>2452.35</v>
      </c>
      <c r="I190" s="295" t="s">
        <v>114</v>
      </c>
      <c r="J190" s="165">
        <v>10</v>
      </c>
      <c r="K190" s="275">
        <v>12</v>
      </c>
      <c r="L190" s="162">
        <v>15</v>
      </c>
      <c r="M190" s="162">
        <v>17</v>
      </c>
      <c r="N190" s="162">
        <v>20</v>
      </c>
      <c r="Q190" s="225"/>
      <c r="R190" s="225"/>
    </row>
    <row r="191" spans="1:18" ht="26.25" x14ac:dyDescent="0.25">
      <c r="A191" s="842"/>
      <c r="B191" s="646"/>
      <c r="C191" s="654"/>
      <c r="D191" s="573"/>
      <c r="E191" s="573"/>
      <c r="F191" s="658"/>
      <c r="G191" s="199">
        <v>2025</v>
      </c>
      <c r="H191" s="191">
        <f>K189</f>
        <v>3234.16</v>
      </c>
      <c r="I191" s="288" t="s">
        <v>21</v>
      </c>
      <c r="J191" s="196">
        <f>J189/J190</f>
        <v>245.23499999999999</v>
      </c>
      <c r="K191" s="195">
        <f>K189/K190</f>
        <v>269.51333333333332</v>
      </c>
      <c r="L191" s="3">
        <f>L189/L190</f>
        <v>238.034176</v>
      </c>
      <c r="M191" s="3">
        <f>M189/M190</f>
        <v>222.42193445647061</v>
      </c>
      <c r="N191" s="3">
        <f>N189/N190</f>
        <v>200.21310430099206</v>
      </c>
      <c r="Q191" s="225"/>
      <c r="R191" s="225"/>
    </row>
    <row r="192" spans="1:18" ht="24" customHeight="1" x14ac:dyDescent="0.25">
      <c r="A192" s="842"/>
      <c r="B192" s="646"/>
      <c r="C192" s="654"/>
      <c r="D192" s="573"/>
      <c r="E192" s="573"/>
      <c r="F192" s="707"/>
      <c r="G192" s="199">
        <v>2026</v>
      </c>
      <c r="H192" s="192">
        <f>L189</f>
        <v>3570.5126399999999</v>
      </c>
      <c r="I192" s="568" t="s">
        <v>131</v>
      </c>
      <c r="J192" s="581">
        <v>1</v>
      </c>
      <c r="K192" s="584">
        <v>1</v>
      </c>
      <c r="L192" s="581">
        <v>1</v>
      </c>
      <c r="M192" s="581">
        <v>1</v>
      </c>
      <c r="N192" s="581">
        <v>1</v>
      </c>
      <c r="Q192" s="225"/>
      <c r="R192" s="225"/>
    </row>
    <row r="193" spans="1:18" ht="26.45" customHeight="1" x14ac:dyDescent="0.25">
      <c r="A193" s="842"/>
      <c r="B193" s="646"/>
      <c r="C193" s="654"/>
      <c r="D193" s="573"/>
      <c r="E193" s="573"/>
      <c r="F193" s="707"/>
      <c r="G193" s="198">
        <v>2027</v>
      </c>
      <c r="H193" s="192">
        <f>M189</f>
        <v>3781.1728857600006</v>
      </c>
      <c r="I193" s="569"/>
      <c r="J193" s="582"/>
      <c r="K193" s="585"/>
      <c r="L193" s="582"/>
      <c r="M193" s="582"/>
      <c r="N193" s="582"/>
      <c r="Q193" s="225"/>
      <c r="R193" s="225"/>
    </row>
    <row r="194" spans="1:18" ht="22.9" customHeight="1" thickBot="1" x14ac:dyDescent="0.3">
      <c r="A194" s="842"/>
      <c r="B194" s="646"/>
      <c r="C194" s="654"/>
      <c r="D194" s="651"/>
      <c r="E194" s="651"/>
      <c r="F194" s="659"/>
      <c r="G194" s="205">
        <v>2028</v>
      </c>
      <c r="H194" s="235">
        <f>N189</f>
        <v>4004.2620860198413</v>
      </c>
      <c r="I194" s="570"/>
      <c r="J194" s="583"/>
      <c r="K194" s="589"/>
      <c r="L194" s="583"/>
      <c r="M194" s="583"/>
      <c r="N194" s="583"/>
      <c r="Q194" s="225"/>
      <c r="R194" s="225"/>
    </row>
    <row r="195" spans="1:18" ht="33" customHeight="1" thickBot="1" x14ac:dyDescent="0.3">
      <c r="A195" s="842"/>
      <c r="B195" s="646"/>
      <c r="C195" s="701" t="s">
        <v>78</v>
      </c>
      <c r="D195" s="650" t="s">
        <v>222</v>
      </c>
      <c r="E195" s="550" t="s">
        <v>59</v>
      </c>
      <c r="F195" s="562" t="s">
        <v>8</v>
      </c>
      <c r="G195" s="74" t="s">
        <v>9</v>
      </c>
      <c r="H195" s="197">
        <f>H196+H197+H198+H199+H200</f>
        <v>115713.71574456499</v>
      </c>
      <c r="I195" s="174" t="s">
        <v>11</v>
      </c>
      <c r="J195" s="14">
        <v>19422.009999999998</v>
      </c>
      <c r="K195" s="176">
        <f>21344.79</f>
        <v>21344.79</v>
      </c>
      <c r="L195" s="171">
        <f>21344.79*110.4%</f>
        <v>23564.648160000004</v>
      </c>
      <c r="M195" s="171">
        <f>L195*105.9%</f>
        <v>24954.962401440007</v>
      </c>
      <c r="N195" s="171">
        <f>M195*105.9%</f>
        <v>26427.305183124972</v>
      </c>
      <c r="Q195" s="62"/>
      <c r="R195" s="225"/>
    </row>
    <row r="196" spans="1:18" ht="51.75" x14ac:dyDescent="0.25">
      <c r="A196" s="842"/>
      <c r="B196" s="646"/>
      <c r="C196" s="702"/>
      <c r="D196" s="573"/>
      <c r="E196" s="551"/>
      <c r="F196" s="563"/>
      <c r="G196" s="189">
        <v>2024</v>
      </c>
      <c r="H196" s="202">
        <f>J195</f>
        <v>19422.009999999998</v>
      </c>
      <c r="I196" s="287" t="s">
        <v>79</v>
      </c>
      <c r="J196" s="165">
        <v>63</v>
      </c>
      <c r="K196" s="275">
        <v>63</v>
      </c>
      <c r="L196" s="162">
        <v>68</v>
      </c>
      <c r="M196" s="162">
        <v>71</v>
      </c>
      <c r="N196" s="162">
        <v>75</v>
      </c>
      <c r="Q196" s="225"/>
      <c r="R196" s="225"/>
    </row>
    <row r="197" spans="1:18" ht="21.6" customHeight="1" x14ac:dyDescent="0.25">
      <c r="A197" s="842"/>
      <c r="B197" s="646"/>
      <c r="C197" s="702"/>
      <c r="D197" s="573"/>
      <c r="E197" s="551"/>
      <c r="F197" s="563"/>
      <c r="G197" s="199">
        <v>2025</v>
      </c>
      <c r="H197" s="191">
        <f>K195</f>
        <v>21344.79</v>
      </c>
      <c r="I197" s="288" t="s">
        <v>15</v>
      </c>
      <c r="J197" s="186">
        <v>18</v>
      </c>
      <c r="K197" s="187">
        <v>18</v>
      </c>
      <c r="L197" s="2">
        <v>23</v>
      </c>
      <c r="M197" s="2">
        <v>25.3</v>
      </c>
      <c r="N197" s="2">
        <v>27</v>
      </c>
      <c r="Q197" s="225"/>
      <c r="R197" s="225"/>
    </row>
    <row r="198" spans="1:18" ht="19.5" x14ac:dyDescent="0.25">
      <c r="A198" s="842"/>
      <c r="B198" s="646"/>
      <c r="C198" s="702"/>
      <c r="D198" s="573"/>
      <c r="E198" s="551"/>
      <c r="F198" s="563"/>
      <c r="G198" s="199">
        <v>2026</v>
      </c>
      <c r="H198" s="203">
        <f>L195</f>
        <v>23564.648160000004</v>
      </c>
      <c r="I198" s="288" t="s">
        <v>16</v>
      </c>
      <c r="J198" s="186">
        <v>45</v>
      </c>
      <c r="K198" s="187">
        <v>45</v>
      </c>
      <c r="L198" s="2">
        <v>45</v>
      </c>
      <c r="M198" s="2">
        <v>46</v>
      </c>
      <c r="N198" s="2">
        <v>48</v>
      </c>
      <c r="Q198" s="225"/>
      <c r="R198" s="225"/>
    </row>
    <row r="199" spans="1:18" ht="26.25" x14ac:dyDescent="0.25">
      <c r="A199" s="842"/>
      <c r="B199" s="646"/>
      <c r="C199" s="702"/>
      <c r="D199" s="573"/>
      <c r="E199" s="551"/>
      <c r="F199" s="563"/>
      <c r="G199" s="198">
        <v>2027</v>
      </c>
      <c r="H199" s="191">
        <f>M195</f>
        <v>24954.962401440007</v>
      </c>
      <c r="I199" s="288" t="s">
        <v>10</v>
      </c>
      <c r="J199" s="196">
        <f>J195/J196</f>
        <v>308.28587301587299</v>
      </c>
      <c r="K199" s="195">
        <f>K195/K196</f>
        <v>338.80619047619047</v>
      </c>
      <c r="L199" s="3">
        <f>L195/L196</f>
        <v>346.53894352941182</v>
      </c>
      <c r="M199" s="3">
        <f>M195/M196</f>
        <v>351.47834368225364</v>
      </c>
      <c r="N199" s="3">
        <f>N195/N196</f>
        <v>352.36406910833296</v>
      </c>
      <c r="Q199" s="225"/>
      <c r="R199" s="225"/>
    </row>
    <row r="200" spans="1:18" ht="44.25" customHeight="1" thickBot="1" x14ac:dyDescent="0.3">
      <c r="A200" s="842"/>
      <c r="B200" s="646"/>
      <c r="C200" s="702"/>
      <c r="D200" s="651"/>
      <c r="E200" s="552"/>
      <c r="F200" s="564"/>
      <c r="G200" s="205">
        <v>2028</v>
      </c>
      <c r="H200" s="204">
        <f>N195</f>
        <v>26427.305183124972</v>
      </c>
      <c r="I200" s="288" t="s">
        <v>131</v>
      </c>
      <c r="J200" s="296">
        <v>1</v>
      </c>
      <c r="K200" s="291">
        <v>1</v>
      </c>
      <c r="L200" s="39">
        <v>1</v>
      </c>
      <c r="M200" s="39">
        <v>1</v>
      </c>
      <c r="N200" s="39">
        <v>1</v>
      </c>
      <c r="Q200" s="225"/>
      <c r="R200" s="225"/>
    </row>
    <row r="201" spans="1:18" ht="27" thickBot="1" x14ac:dyDescent="0.3">
      <c r="A201" s="842"/>
      <c r="B201" s="646"/>
      <c r="C201" s="653" t="s">
        <v>80</v>
      </c>
      <c r="D201" s="650" t="s">
        <v>222</v>
      </c>
      <c r="E201" s="650" t="s">
        <v>59</v>
      </c>
      <c r="F201" s="666" t="s">
        <v>8</v>
      </c>
      <c r="G201" s="74" t="s">
        <v>9</v>
      </c>
      <c r="H201" s="197">
        <f>H202+H203+H204+H205+H206</f>
        <v>9985.0879235748798</v>
      </c>
      <c r="I201" s="174" t="s">
        <v>11</v>
      </c>
      <c r="J201" s="14">
        <v>1675.95</v>
      </c>
      <c r="K201" s="176">
        <f>1841.87</f>
        <v>1841.87</v>
      </c>
      <c r="L201" s="171">
        <f>1841.87*110.4%</f>
        <v>2033.4244800000001</v>
      </c>
      <c r="M201" s="171">
        <f>L201*105.9%</f>
        <v>2153.3965243200005</v>
      </c>
      <c r="N201" s="171">
        <f>M201*105.9%</f>
        <v>2280.4469192548809</v>
      </c>
      <c r="Q201" s="62"/>
      <c r="R201" s="225"/>
    </row>
    <row r="202" spans="1:18" ht="39" x14ac:dyDescent="0.25">
      <c r="A202" s="842"/>
      <c r="B202" s="646"/>
      <c r="C202" s="654"/>
      <c r="D202" s="573"/>
      <c r="E202" s="573"/>
      <c r="F202" s="666"/>
      <c r="G202" s="189">
        <v>2024</v>
      </c>
      <c r="H202" s="202">
        <f>J201</f>
        <v>1675.95</v>
      </c>
      <c r="I202" s="295" t="s">
        <v>81</v>
      </c>
      <c r="J202" s="165">
        <v>2</v>
      </c>
      <c r="K202" s="275">
        <v>2</v>
      </c>
      <c r="L202" s="162">
        <v>2</v>
      </c>
      <c r="M202" s="162">
        <v>2</v>
      </c>
      <c r="N202" s="162">
        <v>2</v>
      </c>
      <c r="Q202" s="225"/>
      <c r="R202" s="225"/>
    </row>
    <row r="203" spans="1:18" ht="19.5" x14ac:dyDescent="0.25">
      <c r="A203" s="842"/>
      <c r="B203" s="646"/>
      <c r="C203" s="654"/>
      <c r="D203" s="573"/>
      <c r="E203" s="573"/>
      <c r="F203" s="666"/>
      <c r="G203" s="199">
        <v>2025</v>
      </c>
      <c r="H203" s="191">
        <f>K201</f>
        <v>1841.87</v>
      </c>
      <c r="I203" s="288" t="s">
        <v>15</v>
      </c>
      <c r="J203" s="186">
        <v>1</v>
      </c>
      <c r="K203" s="187">
        <v>1</v>
      </c>
      <c r="L203" s="2">
        <v>1</v>
      </c>
      <c r="M203" s="2">
        <v>1</v>
      </c>
      <c r="N203" s="2">
        <v>1</v>
      </c>
      <c r="Q203" s="225"/>
      <c r="R203" s="225"/>
    </row>
    <row r="204" spans="1:18" ht="19.5" x14ac:dyDescent="0.25">
      <c r="A204" s="842"/>
      <c r="B204" s="646"/>
      <c r="C204" s="654"/>
      <c r="D204" s="573"/>
      <c r="E204" s="573"/>
      <c r="F204" s="666"/>
      <c r="G204" s="199">
        <v>2026</v>
      </c>
      <c r="H204" s="203">
        <f>L201</f>
        <v>2033.4244800000001</v>
      </c>
      <c r="I204" s="288" t="s">
        <v>16</v>
      </c>
      <c r="J204" s="186">
        <v>1</v>
      </c>
      <c r="K204" s="187">
        <v>1</v>
      </c>
      <c r="L204" s="2">
        <v>1</v>
      </c>
      <c r="M204" s="2">
        <v>1</v>
      </c>
      <c r="N204" s="2">
        <v>1</v>
      </c>
      <c r="Q204" s="225"/>
      <c r="R204" s="225"/>
    </row>
    <row r="205" spans="1:18" ht="26.25" x14ac:dyDescent="0.25">
      <c r="A205" s="842"/>
      <c r="B205" s="646"/>
      <c r="C205" s="654"/>
      <c r="D205" s="573"/>
      <c r="E205" s="573"/>
      <c r="F205" s="666"/>
      <c r="G205" s="198">
        <v>2027</v>
      </c>
      <c r="H205" s="191">
        <f>M201</f>
        <v>2153.3965243200005</v>
      </c>
      <c r="I205" s="288" t="s">
        <v>21</v>
      </c>
      <c r="J205" s="196">
        <f>J201/J202</f>
        <v>837.97500000000002</v>
      </c>
      <c r="K205" s="195">
        <f>K201/K202</f>
        <v>920.93499999999995</v>
      </c>
      <c r="L205" s="3">
        <f>L201/L202</f>
        <v>1016.7122400000001</v>
      </c>
      <c r="M205" s="3">
        <f>M201/M202</f>
        <v>1076.6982621600002</v>
      </c>
      <c r="N205" s="3">
        <f>N201/N202</f>
        <v>1140.2234596274404</v>
      </c>
      <c r="Q205" s="225"/>
      <c r="R205" s="225"/>
    </row>
    <row r="206" spans="1:18" ht="27" thickBot="1" x14ac:dyDescent="0.3">
      <c r="A206" s="842"/>
      <c r="B206" s="646"/>
      <c r="C206" s="654"/>
      <c r="D206" s="651"/>
      <c r="E206" s="651"/>
      <c r="F206" s="667"/>
      <c r="G206" s="205">
        <v>2028</v>
      </c>
      <c r="H206" s="204">
        <f>N201</f>
        <v>2280.4469192548809</v>
      </c>
      <c r="I206" s="288" t="s">
        <v>131</v>
      </c>
      <c r="J206" s="296">
        <v>1</v>
      </c>
      <c r="K206" s="291">
        <v>1</v>
      </c>
      <c r="L206" s="39">
        <v>1</v>
      </c>
      <c r="M206" s="39">
        <v>1</v>
      </c>
      <c r="N206" s="39">
        <v>1</v>
      </c>
      <c r="Q206" s="225"/>
      <c r="R206" s="225"/>
    </row>
    <row r="207" spans="1:18" ht="27" thickBot="1" x14ac:dyDescent="0.3">
      <c r="A207" s="842"/>
      <c r="B207" s="646"/>
      <c r="C207" s="653" t="s">
        <v>82</v>
      </c>
      <c r="D207" s="650" t="s">
        <v>222</v>
      </c>
      <c r="E207" s="650" t="s">
        <v>59</v>
      </c>
      <c r="F207" s="657" t="s">
        <v>8</v>
      </c>
      <c r="G207" s="74" t="s">
        <v>9</v>
      </c>
      <c r="H207" s="197">
        <f>H208+H209+H210+H211+H212</f>
        <v>3383.9480016910406</v>
      </c>
      <c r="I207" s="174" t="s">
        <v>11</v>
      </c>
      <c r="J207" s="14">
        <v>567.98</v>
      </c>
      <c r="K207" s="176">
        <f>624.21</f>
        <v>624.21</v>
      </c>
      <c r="L207" s="171">
        <f>624.21*110.4%</f>
        <v>689.12784000000011</v>
      </c>
      <c r="M207" s="171">
        <f>L207*105.9%</f>
        <v>729.78638256000022</v>
      </c>
      <c r="N207" s="171">
        <f>M207*105.9%</f>
        <v>772.84377913104038</v>
      </c>
      <c r="Q207" s="62"/>
      <c r="R207" s="225"/>
    </row>
    <row r="208" spans="1:18" ht="39" x14ac:dyDescent="0.25">
      <c r="A208" s="842"/>
      <c r="B208" s="646"/>
      <c r="C208" s="654"/>
      <c r="D208" s="573"/>
      <c r="E208" s="573"/>
      <c r="F208" s="658"/>
      <c r="G208" s="189">
        <v>2024</v>
      </c>
      <c r="H208" s="202">
        <f>J207</f>
        <v>567.98</v>
      </c>
      <c r="I208" s="295" t="s">
        <v>83</v>
      </c>
      <c r="J208" s="165">
        <v>1</v>
      </c>
      <c r="K208" s="275">
        <v>1</v>
      </c>
      <c r="L208" s="162">
        <v>1</v>
      </c>
      <c r="M208" s="162">
        <v>1</v>
      </c>
      <c r="N208" s="162">
        <v>1</v>
      </c>
      <c r="Q208" s="225"/>
      <c r="R208" s="225"/>
    </row>
    <row r="209" spans="1:18" ht="26.25" x14ac:dyDescent="0.25">
      <c r="A209" s="842"/>
      <c r="B209" s="646"/>
      <c r="C209" s="654"/>
      <c r="D209" s="573"/>
      <c r="E209" s="573"/>
      <c r="F209" s="658"/>
      <c r="G209" s="199">
        <v>2025</v>
      </c>
      <c r="H209" s="191">
        <f>K207</f>
        <v>624.21</v>
      </c>
      <c r="I209" s="288" t="s">
        <v>21</v>
      </c>
      <c r="J209" s="196">
        <f>J207/J208</f>
        <v>567.98</v>
      </c>
      <c r="K209" s="195">
        <f>K207/K208</f>
        <v>624.21</v>
      </c>
      <c r="L209" s="3">
        <f>L207/L208</f>
        <v>689.12784000000011</v>
      </c>
      <c r="M209" s="3">
        <f>M207/M208</f>
        <v>729.78638256000022</v>
      </c>
      <c r="N209" s="3">
        <f>N207/N208</f>
        <v>772.84377913104038</v>
      </c>
      <c r="Q209" s="225"/>
      <c r="R209" s="225"/>
    </row>
    <row r="210" spans="1:18" ht="21.6" customHeight="1" x14ac:dyDescent="0.25">
      <c r="A210" s="842"/>
      <c r="B210" s="646"/>
      <c r="C210" s="654"/>
      <c r="D210" s="573"/>
      <c r="E210" s="573"/>
      <c r="F210" s="707"/>
      <c r="G210" s="199">
        <v>2026</v>
      </c>
      <c r="H210" s="192">
        <f>L207</f>
        <v>689.12784000000011</v>
      </c>
      <c r="I210" s="613" t="s">
        <v>131</v>
      </c>
      <c r="J210" s="581">
        <v>1</v>
      </c>
      <c r="K210" s="584">
        <v>1</v>
      </c>
      <c r="L210" s="581">
        <v>1</v>
      </c>
      <c r="M210" s="581">
        <v>1</v>
      </c>
      <c r="N210" s="581">
        <v>1</v>
      </c>
      <c r="Q210" s="225"/>
      <c r="R210" s="225"/>
    </row>
    <row r="211" spans="1:18" ht="24.6" customHeight="1" x14ac:dyDescent="0.25">
      <c r="A211" s="842"/>
      <c r="B211" s="646"/>
      <c r="C211" s="654"/>
      <c r="D211" s="573"/>
      <c r="E211" s="573"/>
      <c r="F211" s="707"/>
      <c r="G211" s="198">
        <v>2027</v>
      </c>
      <c r="H211" s="192">
        <f>M207</f>
        <v>729.78638256000022</v>
      </c>
      <c r="I211" s="614"/>
      <c r="J211" s="582"/>
      <c r="K211" s="585"/>
      <c r="L211" s="582"/>
      <c r="M211" s="582"/>
      <c r="N211" s="582"/>
      <c r="Q211" s="225"/>
      <c r="R211" s="225"/>
    </row>
    <row r="212" spans="1:18" ht="24.6" customHeight="1" thickBot="1" x14ac:dyDescent="0.3">
      <c r="A212" s="842"/>
      <c r="B212" s="646"/>
      <c r="C212" s="654"/>
      <c r="D212" s="651"/>
      <c r="E212" s="651"/>
      <c r="F212" s="659"/>
      <c r="G212" s="205">
        <v>2028</v>
      </c>
      <c r="H212" s="235">
        <f>N207</f>
        <v>772.84377913104038</v>
      </c>
      <c r="I212" s="615"/>
      <c r="J212" s="583"/>
      <c r="K212" s="589"/>
      <c r="L212" s="583"/>
      <c r="M212" s="583"/>
      <c r="N212" s="583"/>
      <c r="Q212" s="225"/>
      <c r="R212" s="225"/>
    </row>
    <row r="213" spans="1:18" ht="27" thickBot="1" x14ac:dyDescent="0.3">
      <c r="A213" s="842"/>
      <c r="B213" s="646"/>
      <c r="C213" s="653" t="s">
        <v>111</v>
      </c>
      <c r="D213" s="650" t="s">
        <v>222</v>
      </c>
      <c r="E213" s="650" t="s">
        <v>59</v>
      </c>
      <c r="F213" s="708" t="s">
        <v>8</v>
      </c>
      <c r="G213" s="74" t="s">
        <v>9</v>
      </c>
      <c r="H213" s="197">
        <f>H214+H215+H216+H217+H218</f>
        <v>1939.9611789384003</v>
      </c>
      <c r="I213" s="174" t="s">
        <v>11</v>
      </c>
      <c r="J213" s="14">
        <v>325.61</v>
      </c>
      <c r="K213" s="176">
        <f>357.85</f>
        <v>357.85</v>
      </c>
      <c r="L213" s="171">
        <f>357.85*110.4%</f>
        <v>395.06640000000004</v>
      </c>
      <c r="M213" s="171">
        <f>L213*105.9%</f>
        <v>418.37531760000013</v>
      </c>
      <c r="N213" s="171">
        <f>M213*105.9%</f>
        <v>443.05946133840018</v>
      </c>
      <c r="Q213" s="62"/>
      <c r="R213" s="225"/>
    </row>
    <row r="214" spans="1:18" ht="65.25" thickBot="1" x14ac:dyDescent="0.3">
      <c r="A214" s="842"/>
      <c r="B214" s="646"/>
      <c r="C214" s="654"/>
      <c r="D214" s="573"/>
      <c r="E214" s="573"/>
      <c r="F214" s="658"/>
      <c r="G214" s="73">
        <v>2024</v>
      </c>
      <c r="H214" s="202">
        <f>J213</f>
        <v>325.61</v>
      </c>
      <c r="I214" s="295" t="s">
        <v>84</v>
      </c>
      <c r="J214" s="165">
        <v>1</v>
      </c>
      <c r="K214" s="275">
        <v>1</v>
      </c>
      <c r="L214" s="162">
        <v>1</v>
      </c>
      <c r="M214" s="162">
        <v>1</v>
      </c>
      <c r="N214" s="162">
        <v>1</v>
      </c>
      <c r="Q214" s="225"/>
      <c r="R214" s="225"/>
    </row>
    <row r="215" spans="1:18" ht="26.25" x14ac:dyDescent="0.25">
      <c r="A215" s="842"/>
      <c r="B215" s="646"/>
      <c r="C215" s="654"/>
      <c r="D215" s="573"/>
      <c r="E215" s="573"/>
      <c r="F215" s="658"/>
      <c r="G215" s="189">
        <v>2025</v>
      </c>
      <c r="H215" s="191">
        <f>K213</f>
        <v>357.85</v>
      </c>
      <c r="I215" s="288" t="s">
        <v>21</v>
      </c>
      <c r="J215" s="196">
        <f>J213/J214</f>
        <v>325.61</v>
      </c>
      <c r="K215" s="195">
        <f>K213/K214</f>
        <v>357.85</v>
      </c>
      <c r="L215" s="3">
        <f>L213/L214</f>
        <v>395.06640000000004</v>
      </c>
      <c r="M215" s="3">
        <f>M213/M214</f>
        <v>418.37531760000013</v>
      </c>
      <c r="N215" s="3">
        <f>N213/N214</f>
        <v>443.05946133840018</v>
      </c>
      <c r="Q215" s="225"/>
      <c r="R215" s="225"/>
    </row>
    <row r="216" spans="1:18" ht="19.899999999999999" customHeight="1" x14ac:dyDescent="0.25">
      <c r="A216" s="842"/>
      <c r="B216" s="646"/>
      <c r="C216" s="654"/>
      <c r="D216" s="573"/>
      <c r="E216" s="573"/>
      <c r="F216" s="707"/>
      <c r="G216" s="199">
        <v>2026</v>
      </c>
      <c r="H216" s="192">
        <f>L213</f>
        <v>395.06640000000004</v>
      </c>
      <c r="I216" s="613" t="s">
        <v>131</v>
      </c>
      <c r="J216" s="581">
        <v>1</v>
      </c>
      <c r="K216" s="584">
        <v>1</v>
      </c>
      <c r="L216" s="581">
        <v>1</v>
      </c>
      <c r="M216" s="581">
        <v>1</v>
      </c>
      <c r="N216" s="581">
        <v>1</v>
      </c>
      <c r="Q216" s="225"/>
      <c r="R216" s="225"/>
    </row>
    <row r="217" spans="1:18" ht="20.45" customHeight="1" x14ac:dyDescent="0.25">
      <c r="A217" s="842"/>
      <c r="B217" s="646"/>
      <c r="C217" s="654"/>
      <c r="D217" s="573"/>
      <c r="E217" s="573"/>
      <c r="F217" s="707"/>
      <c r="G217" s="198">
        <v>2027</v>
      </c>
      <c r="H217" s="192">
        <f>M213</f>
        <v>418.37531760000013</v>
      </c>
      <c r="I217" s="614"/>
      <c r="J217" s="582"/>
      <c r="K217" s="585"/>
      <c r="L217" s="582"/>
      <c r="M217" s="582"/>
      <c r="N217" s="582"/>
      <c r="Q217" s="225"/>
      <c r="R217" s="225"/>
    </row>
    <row r="218" spans="1:18" ht="20.25" thickBot="1" x14ac:dyDescent="0.3">
      <c r="A218" s="842"/>
      <c r="B218" s="646"/>
      <c r="C218" s="654"/>
      <c r="D218" s="651"/>
      <c r="E218" s="651"/>
      <c r="F218" s="659"/>
      <c r="G218" s="205">
        <v>2028</v>
      </c>
      <c r="H218" s="235">
        <f>N213</f>
        <v>443.05946133840018</v>
      </c>
      <c r="I218" s="615"/>
      <c r="J218" s="583"/>
      <c r="K218" s="589"/>
      <c r="L218" s="583"/>
      <c r="M218" s="583"/>
      <c r="N218" s="583"/>
      <c r="Q218" s="225"/>
      <c r="R218" s="225"/>
    </row>
    <row r="219" spans="1:18" ht="27" thickBot="1" x14ac:dyDescent="0.3">
      <c r="A219" s="842"/>
      <c r="B219" s="646"/>
      <c r="C219" s="653" t="s">
        <v>85</v>
      </c>
      <c r="D219" s="650" t="s">
        <v>7</v>
      </c>
      <c r="E219" s="650" t="s">
        <v>59</v>
      </c>
      <c r="F219" s="660" t="s">
        <v>8</v>
      </c>
      <c r="G219" s="74" t="s">
        <v>9</v>
      </c>
      <c r="H219" s="197">
        <f>H220+H221+H222+H223+H224</f>
        <v>408622.18500232615</v>
      </c>
      <c r="I219" s="174" t="s">
        <v>11</v>
      </c>
      <c r="J219" s="14">
        <v>65972.73</v>
      </c>
      <c r="K219" s="176">
        <f>75954.42</f>
        <v>75954.42</v>
      </c>
      <c r="L219" s="171">
        <f>75954.42*110.4%</f>
        <v>83853.679680000001</v>
      </c>
      <c r="M219" s="171">
        <f>L219*105.9%</f>
        <v>88801.046781120021</v>
      </c>
      <c r="N219" s="171">
        <f>M219*105.9%</f>
        <v>94040.308541206119</v>
      </c>
      <c r="Q219" s="62"/>
      <c r="R219" s="225"/>
    </row>
    <row r="220" spans="1:18" ht="51.75" x14ac:dyDescent="0.25">
      <c r="A220" s="842"/>
      <c r="B220" s="646"/>
      <c r="C220" s="654"/>
      <c r="D220" s="573"/>
      <c r="E220" s="573"/>
      <c r="F220" s="661"/>
      <c r="G220" s="198">
        <v>2024</v>
      </c>
      <c r="H220" s="202">
        <f>J219</f>
        <v>65972.73</v>
      </c>
      <c r="I220" s="295" t="s">
        <v>229</v>
      </c>
      <c r="J220" s="299">
        <v>69</v>
      </c>
      <c r="K220" s="275">
        <v>72</v>
      </c>
      <c r="L220" s="162">
        <v>78</v>
      </c>
      <c r="M220" s="162">
        <v>80</v>
      </c>
      <c r="N220" s="162">
        <v>84</v>
      </c>
      <c r="Q220" s="225"/>
      <c r="R220" s="225"/>
    </row>
    <row r="221" spans="1:18" ht="19.5" x14ac:dyDescent="0.25">
      <c r="A221" s="842"/>
      <c r="B221" s="646"/>
      <c r="C221" s="654"/>
      <c r="D221" s="573"/>
      <c r="E221" s="573"/>
      <c r="F221" s="661"/>
      <c r="G221" s="199">
        <v>2025</v>
      </c>
      <c r="H221" s="191">
        <f>K219</f>
        <v>75954.42</v>
      </c>
      <c r="I221" s="288" t="s">
        <v>15</v>
      </c>
      <c r="J221" s="187">
        <v>34</v>
      </c>
      <c r="K221" s="187">
        <v>36</v>
      </c>
      <c r="L221" s="2">
        <v>40</v>
      </c>
      <c r="M221" s="2">
        <v>41</v>
      </c>
      <c r="N221" s="2">
        <v>41</v>
      </c>
      <c r="Q221" s="225"/>
      <c r="R221" s="225"/>
    </row>
    <row r="222" spans="1:18" ht="19.5" x14ac:dyDescent="0.25">
      <c r="A222" s="842"/>
      <c r="B222" s="646"/>
      <c r="C222" s="654"/>
      <c r="D222" s="573"/>
      <c r="E222" s="573"/>
      <c r="F222" s="661"/>
      <c r="G222" s="199">
        <v>2026</v>
      </c>
      <c r="H222" s="203">
        <f>L219</f>
        <v>83853.679680000001</v>
      </c>
      <c r="I222" s="288" t="s">
        <v>16</v>
      </c>
      <c r="J222" s="187">
        <v>35</v>
      </c>
      <c r="K222" s="187">
        <v>36</v>
      </c>
      <c r="L222" s="2">
        <v>38</v>
      </c>
      <c r="M222" s="2">
        <v>39</v>
      </c>
      <c r="N222" s="2">
        <v>43</v>
      </c>
      <c r="Q222" s="225"/>
      <c r="R222" s="225"/>
    </row>
    <row r="223" spans="1:18" ht="26.25" x14ac:dyDescent="0.25">
      <c r="A223" s="842"/>
      <c r="B223" s="646"/>
      <c r="C223" s="654"/>
      <c r="D223" s="573"/>
      <c r="E223" s="573"/>
      <c r="F223" s="661"/>
      <c r="G223" s="198">
        <v>2027</v>
      </c>
      <c r="H223" s="191">
        <f>M219</f>
        <v>88801.046781120021</v>
      </c>
      <c r="I223" s="288" t="s">
        <v>21</v>
      </c>
      <c r="J223" s="195">
        <f>J219/J220</f>
        <v>956.12652173913034</v>
      </c>
      <c r="K223" s="195">
        <f>K219/K220</f>
        <v>1054.9224999999999</v>
      </c>
      <c r="L223" s="3">
        <f>L219/L220</f>
        <v>1075.0471753846155</v>
      </c>
      <c r="M223" s="3">
        <f>M219/M220</f>
        <v>1110.0130847640003</v>
      </c>
      <c r="N223" s="3">
        <f>N219/N220</f>
        <v>1119.5274826334062</v>
      </c>
      <c r="Q223" s="225"/>
      <c r="R223" s="225"/>
    </row>
    <row r="224" spans="1:18" ht="27" thickBot="1" x14ac:dyDescent="0.3">
      <c r="A224" s="842"/>
      <c r="B224" s="646"/>
      <c r="C224" s="654"/>
      <c r="D224" s="651"/>
      <c r="E224" s="651"/>
      <c r="F224" s="663"/>
      <c r="G224" s="205">
        <v>2028</v>
      </c>
      <c r="H224" s="204">
        <f>N219</f>
        <v>94040.308541206119</v>
      </c>
      <c r="I224" s="288" t="s">
        <v>131</v>
      </c>
      <c r="J224" s="291">
        <v>1</v>
      </c>
      <c r="K224" s="291">
        <v>1</v>
      </c>
      <c r="L224" s="39">
        <v>1</v>
      </c>
      <c r="M224" s="39">
        <v>1</v>
      </c>
      <c r="N224" s="39">
        <v>1</v>
      </c>
      <c r="Q224" s="225"/>
      <c r="R224" s="225"/>
    </row>
    <row r="225" spans="1:18" ht="27" thickBot="1" x14ac:dyDescent="0.3">
      <c r="A225" s="842"/>
      <c r="B225" s="646"/>
      <c r="C225" s="653" t="s">
        <v>115</v>
      </c>
      <c r="D225" s="650" t="s">
        <v>222</v>
      </c>
      <c r="E225" s="650" t="s">
        <v>59</v>
      </c>
      <c r="F225" s="666" t="s">
        <v>8</v>
      </c>
      <c r="G225" s="74" t="s">
        <v>9</v>
      </c>
      <c r="H225" s="197">
        <f>H226+H227+H228+H229+H230</f>
        <v>1287628.4973130247</v>
      </c>
      <c r="I225" s="174" t="s">
        <v>11</v>
      </c>
      <c r="J225" s="176">
        <v>193901.13</v>
      </c>
      <c r="K225" s="176">
        <f>242444.36</f>
        <v>242444.36</v>
      </c>
      <c r="L225" s="171">
        <f>242444.36*110.4%</f>
        <v>267658.57344000001</v>
      </c>
      <c r="M225" s="171">
        <f>L225*105.9%</f>
        <v>283450.42927296006</v>
      </c>
      <c r="N225" s="171">
        <f>M225*105.9%</f>
        <v>300174.00460006477</v>
      </c>
      <c r="Q225" s="62"/>
      <c r="R225" s="225"/>
    </row>
    <row r="226" spans="1:18" ht="51.75" x14ac:dyDescent="0.25">
      <c r="A226" s="842"/>
      <c r="B226" s="646"/>
      <c r="C226" s="654"/>
      <c r="D226" s="573"/>
      <c r="E226" s="573"/>
      <c r="F226" s="666"/>
      <c r="G226" s="189">
        <v>2024</v>
      </c>
      <c r="H226" s="202">
        <f>J225</f>
        <v>193901.13</v>
      </c>
      <c r="I226" s="295" t="s">
        <v>234</v>
      </c>
      <c r="J226" s="275">
        <v>626</v>
      </c>
      <c r="K226" s="275">
        <v>749</v>
      </c>
      <c r="L226" s="162">
        <v>760</v>
      </c>
      <c r="M226" s="162">
        <v>775</v>
      </c>
      <c r="N226" s="162">
        <v>800</v>
      </c>
      <c r="Q226" s="225"/>
      <c r="R226" s="225"/>
    </row>
    <row r="227" spans="1:18" ht="19.5" x14ac:dyDescent="0.25">
      <c r="A227" s="842"/>
      <c r="B227" s="646"/>
      <c r="C227" s="654"/>
      <c r="D227" s="573"/>
      <c r="E227" s="573"/>
      <c r="F227" s="666"/>
      <c r="G227" s="199">
        <v>2025</v>
      </c>
      <c r="H227" s="191">
        <f>K225</f>
        <v>242444.36</v>
      </c>
      <c r="I227" s="288" t="s">
        <v>15</v>
      </c>
      <c r="J227" s="187">
        <v>310</v>
      </c>
      <c r="K227" s="187">
        <v>360</v>
      </c>
      <c r="L227" s="2">
        <v>360</v>
      </c>
      <c r="M227" s="2">
        <v>360</v>
      </c>
      <c r="N227" s="2">
        <v>360</v>
      </c>
      <c r="Q227" s="225"/>
      <c r="R227" s="225"/>
    </row>
    <row r="228" spans="1:18" ht="19.5" x14ac:dyDescent="0.25">
      <c r="A228" s="842"/>
      <c r="B228" s="646"/>
      <c r="C228" s="654"/>
      <c r="D228" s="573"/>
      <c r="E228" s="573"/>
      <c r="F228" s="666"/>
      <c r="G228" s="199">
        <v>2026</v>
      </c>
      <c r="H228" s="203">
        <f>L225</f>
        <v>267658.57344000001</v>
      </c>
      <c r="I228" s="288" t="s">
        <v>16</v>
      </c>
      <c r="J228" s="187">
        <v>316</v>
      </c>
      <c r="K228" s="187">
        <f>K226-K227</f>
        <v>389</v>
      </c>
      <c r="L228" s="2">
        <f>L226-L227</f>
        <v>400</v>
      </c>
      <c r="M228" s="2">
        <f>M226-M227</f>
        <v>415</v>
      </c>
      <c r="N228" s="2">
        <f>N226-N227</f>
        <v>440</v>
      </c>
      <c r="Q228" s="225"/>
      <c r="R228" s="225"/>
    </row>
    <row r="229" spans="1:18" ht="26.25" x14ac:dyDescent="0.25">
      <c r="A229" s="842"/>
      <c r="B229" s="646"/>
      <c r="C229" s="654"/>
      <c r="D229" s="573"/>
      <c r="E229" s="573"/>
      <c r="F229" s="666"/>
      <c r="G229" s="198">
        <v>2027</v>
      </c>
      <c r="H229" s="191">
        <f>M225</f>
        <v>283450.42927296006</v>
      </c>
      <c r="I229" s="288" t="s">
        <v>21</v>
      </c>
      <c r="J229" s="195">
        <f>J225/J226</f>
        <v>309.74621405750798</v>
      </c>
      <c r="K229" s="195">
        <f>K225/K226</f>
        <v>323.69073431241651</v>
      </c>
      <c r="L229" s="3">
        <f>L225/L226</f>
        <v>352.1823334736842</v>
      </c>
      <c r="M229" s="3">
        <f>M225/M226</f>
        <v>365.74248938446459</v>
      </c>
      <c r="N229" s="3">
        <f>N225/N226</f>
        <v>375.21750575008099</v>
      </c>
      <c r="Q229" s="225"/>
      <c r="R229" s="225"/>
    </row>
    <row r="230" spans="1:18" ht="27" thickBot="1" x14ac:dyDescent="0.3">
      <c r="A230" s="842"/>
      <c r="B230" s="646"/>
      <c r="C230" s="654"/>
      <c r="D230" s="651"/>
      <c r="E230" s="651"/>
      <c r="F230" s="667"/>
      <c r="G230" s="205">
        <v>2028</v>
      </c>
      <c r="H230" s="204">
        <f>N225</f>
        <v>300174.00460006477</v>
      </c>
      <c r="I230" s="288" t="s">
        <v>131</v>
      </c>
      <c r="J230" s="291">
        <v>1</v>
      </c>
      <c r="K230" s="291">
        <v>1</v>
      </c>
      <c r="L230" s="39">
        <v>1</v>
      </c>
      <c r="M230" s="39">
        <v>1</v>
      </c>
      <c r="N230" s="39">
        <v>1</v>
      </c>
      <c r="Q230" s="225"/>
      <c r="R230" s="225"/>
    </row>
    <row r="231" spans="1:18" ht="34.5" customHeight="1" thickBot="1" x14ac:dyDescent="0.3">
      <c r="A231" s="842"/>
      <c r="B231" s="646"/>
      <c r="C231" s="653" t="s">
        <v>45</v>
      </c>
      <c r="D231" s="650" t="s">
        <v>222</v>
      </c>
      <c r="E231" s="650" t="s">
        <v>59</v>
      </c>
      <c r="F231" s="657" t="s">
        <v>8</v>
      </c>
      <c r="G231" s="74" t="s">
        <v>9</v>
      </c>
      <c r="H231" s="197">
        <f>H232+H233+H234+H235+H236</f>
        <v>91714.628361398893</v>
      </c>
      <c r="I231" s="174" t="s">
        <v>11</v>
      </c>
      <c r="J231" s="176">
        <v>15393.87</v>
      </c>
      <c r="K231" s="176">
        <f>16917.87</f>
        <v>16917.87</v>
      </c>
      <c r="L231" s="171">
        <f>16917.87*110.4%</f>
        <v>18677.32848</v>
      </c>
      <c r="M231" s="171">
        <f>L231*105.9%</f>
        <v>19779.290860320005</v>
      </c>
      <c r="N231" s="171">
        <f>M231*105.9%</f>
        <v>20946.26902107889</v>
      </c>
      <c r="Q231" s="62"/>
      <c r="R231" s="225"/>
    </row>
    <row r="232" spans="1:18" ht="56.25" customHeight="1" x14ac:dyDescent="0.25">
      <c r="A232" s="842"/>
      <c r="B232" s="646"/>
      <c r="C232" s="654"/>
      <c r="D232" s="573"/>
      <c r="E232" s="573"/>
      <c r="F232" s="658"/>
      <c r="G232" s="189">
        <v>2024</v>
      </c>
      <c r="H232" s="202">
        <f>J231</f>
        <v>15393.87</v>
      </c>
      <c r="I232" s="295" t="s">
        <v>28</v>
      </c>
      <c r="J232" s="275">
        <v>100</v>
      </c>
      <c r="K232" s="275">
        <v>100</v>
      </c>
      <c r="L232" s="162">
        <v>108</v>
      </c>
      <c r="M232" s="162">
        <v>112</v>
      </c>
      <c r="N232" s="162">
        <v>118</v>
      </c>
      <c r="Q232" s="225"/>
      <c r="R232" s="225"/>
    </row>
    <row r="233" spans="1:18" ht="33" customHeight="1" x14ac:dyDescent="0.25">
      <c r="A233" s="842"/>
      <c r="B233" s="646"/>
      <c r="C233" s="654"/>
      <c r="D233" s="573"/>
      <c r="E233" s="573"/>
      <c r="F233" s="658"/>
      <c r="G233" s="199">
        <v>2025</v>
      </c>
      <c r="H233" s="191">
        <f>K231</f>
        <v>16917.87</v>
      </c>
      <c r="I233" s="288" t="s">
        <v>10</v>
      </c>
      <c r="J233" s="195">
        <f>J231/J232</f>
        <v>153.93870000000001</v>
      </c>
      <c r="K233" s="195">
        <f>K231/K232</f>
        <v>169.17869999999999</v>
      </c>
      <c r="L233" s="3">
        <f>L231/L232</f>
        <v>172.93822666666668</v>
      </c>
      <c r="M233" s="3">
        <f>M231/M232</f>
        <v>176.6008112528572</v>
      </c>
      <c r="N233" s="3">
        <f>N231/N232</f>
        <v>177.5107544159228</v>
      </c>
      <c r="Q233" s="225"/>
      <c r="R233" s="225"/>
    </row>
    <row r="234" spans="1:18" ht="19.899999999999999" customHeight="1" x14ac:dyDescent="0.25">
      <c r="A234" s="842"/>
      <c r="B234" s="646"/>
      <c r="C234" s="654"/>
      <c r="D234" s="573"/>
      <c r="E234" s="573"/>
      <c r="F234" s="707"/>
      <c r="G234" s="199">
        <v>2026</v>
      </c>
      <c r="H234" s="192">
        <f>L231</f>
        <v>18677.32848</v>
      </c>
      <c r="I234" s="568" t="s">
        <v>131</v>
      </c>
      <c r="J234" s="584">
        <v>1</v>
      </c>
      <c r="K234" s="584">
        <v>1</v>
      </c>
      <c r="L234" s="581">
        <v>1</v>
      </c>
      <c r="M234" s="581">
        <v>1</v>
      </c>
      <c r="N234" s="581">
        <v>1</v>
      </c>
      <c r="Q234" s="225"/>
      <c r="R234" s="225"/>
    </row>
    <row r="235" spans="1:18" ht="24" customHeight="1" x14ac:dyDescent="0.25">
      <c r="A235" s="842"/>
      <c r="B235" s="646"/>
      <c r="C235" s="654"/>
      <c r="D235" s="573"/>
      <c r="E235" s="573"/>
      <c r="F235" s="707"/>
      <c r="G235" s="198">
        <v>2027</v>
      </c>
      <c r="H235" s="192">
        <f>M231</f>
        <v>19779.290860320005</v>
      </c>
      <c r="I235" s="569"/>
      <c r="J235" s="585"/>
      <c r="K235" s="585"/>
      <c r="L235" s="582"/>
      <c r="M235" s="582"/>
      <c r="N235" s="582"/>
      <c r="Q235" s="225"/>
      <c r="R235" s="225"/>
    </row>
    <row r="236" spans="1:18" ht="23.25" customHeight="1" thickBot="1" x14ac:dyDescent="0.3">
      <c r="A236" s="842"/>
      <c r="B236" s="646"/>
      <c r="C236" s="654"/>
      <c r="D236" s="651"/>
      <c r="E236" s="651"/>
      <c r="F236" s="659"/>
      <c r="G236" s="205">
        <v>2028</v>
      </c>
      <c r="H236" s="235">
        <f>N231</f>
        <v>20946.26902107889</v>
      </c>
      <c r="I236" s="570"/>
      <c r="J236" s="589"/>
      <c r="K236" s="589"/>
      <c r="L236" s="583"/>
      <c r="M236" s="583"/>
      <c r="N236" s="583"/>
      <c r="Q236" s="225"/>
      <c r="R236" s="225"/>
    </row>
    <row r="237" spans="1:18" ht="27" thickBot="1" x14ac:dyDescent="0.3">
      <c r="A237" s="842"/>
      <c r="B237" s="646"/>
      <c r="C237" s="655" t="s">
        <v>46</v>
      </c>
      <c r="D237" s="650" t="s">
        <v>222</v>
      </c>
      <c r="E237" s="709" t="s">
        <v>59</v>
      </c>
      <c r="F237" s="708" t="s">
        <v>8</v>
      </c>
      <c r="G237" s="74" t="s">
        <v>9</v>
      </c>
      <c r="H237" s="197">
        <f>H238+H239+H240+H241+H242</f>
        <v>6630366.1405919865</v>
      </c>
      <c r="I237" s="174" t="s">
        <v>11</v>
      </c>
      <c r="J237" s="176">
        <v>984784.46</v>
      </c>
      <c r="K237" s="176">
        <f>1251444.81</f>
        <v>1251444.81</v>
      </c>
      <c r="L237" s="171">
        <f>1251444.81*110.4%</f>
        <v>1381595.0702400003</v>
      </c>
      <c r="M237" s="171">
        <f>L237*105.9%</f>
        <v>1463109.1793841606</v>
      </c>
      <c r="N237" s="171">
        <f>M237*105.9%</f>
        <v>1549432.6209678263</v>
      </c>
      <c r="Q237" s="62"/>
      <c r="R237" s="225"/>
    </row>
    <row r="238" spans="1:18" ht="33.6" customHeight="1" x14ac:dyDescent="0.25">
      <c r="A238" s="842"/>
      <c r="B238" s="646"/>
      <c r="C238" s="656"/>
      <c r="D238" s="573"/>
      <c r="E238" s="710"/>
      <c r="F238" s="658"/>
      <c r="G238" s="189">
        <v>2024</v>
      </c>
      <c r="H238" s="202">
        <f>J237</f>
        <v>984784.46</v>
      </c>
      <c r="I238" s="605" t="s">
        <v>156</v>
      </c>
      <c r="J238" s="601">
        <v>338</v>
      </c>
      <c r="K238" s="603">
        <v>354</v>
      </c>
      <c r="L238" s="601">
        <v>375</v>
      </c>
      <c r="M238" s="601">
        <v>390</v>
      </c>
      <c r="N238" s="601">
        <v>400</v>
      </c>
      <c r="Q238" s="225"/>
      <c r="R238" s="225"/>
    </row>
    <row r="239" spans="1:18" ht="19.5" x14ac:dyDescent="0.25">
      <c r="A239" s="842"/>
      <c r="B239" s="646"/>
      <c r="C239" s="656"/>
      <c r="D239" s="573"/>
      <c r="E239" s="710"/>
      <c r="F239" s="658"/>
      <c r="G239" s="199">
        <v>2025</v>
      </c>
      <c r="H239" s="191">
        <f>K237</f>
        <v>1251444.81</v>
      </c>
      <c r="I239" s="592"/>
      <c r="J239" s="602"/>
      <c r="K239" s="604"/>
      <c r="L239" s="602"/>
      <c r="M239" s="602"/>
      <c r="N239" s="602"/>
      <c r="Q239" s="225"/>
      <c r="R239" s="225"/>
    </row>
    <row r="240" spans="1:18" ht="26.25" x14ac:dyDescent="0.25">
      <c r="A240" s="842"/>
      <c r="B240" s="646"/>
      <c r="C240" s="656"/>
      <c r="D240" s="573"/>
      <c r="E240" s="710"/>
      <c r="F240" s="658"/>
      <c r="G240" s="199">
        <v>2026</v>
      </c>
      <c r="H240" s="191">
        <f>L237</f>
        <v>1381595.0702400003</v>
      </c>
      <c r="I240" s="288" t="s">
        <v>21</v>
      </c>
      <c r="J240" s="196">
        <f>J237/J238</f>
        <v>2913.5634911242601</v>
      </c>
      <c r="K240" s="195">
        <f>K237/K238</f>
        <v>3535.1548305084748</v>
      </c>
      <c r="L240" s="3">
        <f>L237/L238</f>
        <v>3684.2535206400007</v>
      </c>
      <c r="M240" s="3">
        <f>M237/M238</f>
        <v>3751.5619984209243</v>
      </c>
      <c r="N240" s="3">
        <f>N237/N238</f>
        <v>3873.5815524195659</v>
      </c>
      <c r="Q240" s="225"/>
      <c r="R240" s="225"/>
    </row>
    <row r="241" spans="1:18" ht="19.5" x14ac:dyDescent="0.25">
      <c r="A241" s="842"/>
      <c r="B241" s="646"/>
      <c r="C241" s="656"/>
      <c r="D241" s="573"/>
      <c r="E241" s="710"/>
      <c r="F241" s="707"/>
      <c r="G241" s="198">
        <v>2027</v>
      </c>
      <c r="H241" s="192">
        <f>M237</f>
        <v>1463109.1793841606</v>
      </c>
      <c r="I241" s="568" t="s">
        <v>131</v>
      </c>
      <c r="J241" s="581">
        <v>1</v>
      </c>
      <c r="K241" s="584">
        <v>1</v>
      </c>
      <c r="L241" s="581">
        <v>1</v>
      </c>
      <c r="M241" s="581">
        <v>1</v>
      </c>
      <c r="N241" s="581">
        <v>1</v>
      </c>
      <c r="Q241" s="225"/>
      <c r="R241" s="225"/>
    </row>
    <row r="242" spans="1:18" ht="20.25" thickBot="1" x14ac:dyDescent="0.3">
      <c r="A242" s="842"/>
      <c r="B242" s="646"/>
      <c r="C242" s="664"/>
      <c r="D242" s="651"/>
      <c r="E242" s="710"/>
      <c r="F242" s="659"/>
      <c r="G242" s="205">
        <v>2028</v>
      </c>
      <c r="H242" s="235">
        <f>N237</f>
        <v>1549432.6209678263</v>
      </c>
      <c r="I242" s="570"/>
      <c r="J242" s="583"/>
      <c r="K242" s="589"/>
      <c r="L242" s="583"/>
      <c r="M242" s="583"/>
      <c r="N242" s="583"/>
      <c r="Q242" s="225"/>
      <c r="R242" s="225"/>
    </row>
    <row r="243" spans="1:18" ht="27" thickBot="1" x14ac:dyDescent="0.3">
      <c r="A243" s="842"/>
      <c r="B243" s="646"/>
      <c r="C243" s="653" t="s">
        <v>86</v>
      </c>
      <c r="D243" s="650" t="s">
        <v>222</v>
      </c>
      <c r="E243" s="650" t="s">
        <v>59</v>
      </c>
      <c r="F243" s="660" t="s">
        <v>8</v>
      </c>
      <c r="G243" s="74" t="s">
        <v>9</v>
      </c>
      <c r="H243" s="197">
        <f>H245+H247+H246+H248+H244</f>
        <v>136426.81343204371</v>
      </c>
      <c r="I243" s="174" t="s">
        <v>11</v>
      </c>
      <c r="J243" s="14">
        <v>22898.61</v>
      </c>
      <c r="K243" s="176">
        <f>25165.57</f>
        <v>25165.57</v>
      </c>
      <c r="L243" s="171">
        <f>25165.57*110.4%</f>
        <v>27782.789280000001</v>
      </c>
      <c r="M243" s="171">
        <f>L243*105.9%</f>
        <v>29421.973847520007</v>
      </c>
      <c r="N243" s="171">
        <f>M243*105.9%</f>
        <v>31157.870304523691</v>
      </c>
      <c r="Q243" s="62"/>
      <c r="R243" s="225"/>
    </row>
    <row r="244" spans="1:18" ht="22.5" customHeight="1" x14ac:dyDescent="0.25">
      <c r="A244" s="842"/>
      <c r="B244" s="646"/>
      <c r="C244" s="654"/>
      <c r="D244" s="573"/>
      <c r="E244" s="573"/>
      <c r="F244" s="711"/>
      <c r="G244" s="198">
        <v>2024</v>
      </c>
      <c r="H244" s="202">
        <f>J243</f>
        <v>22898.61</v>
      </c>
      <c r="I244" s="605" t="s">
        <v>87</v>
      </c>
      <c r="J244" s="601">
        <v>65</v>
      </c>
      <c r="K244" s="603">
        <v>65</v>
      </c>
      <c r="L244" s="601">
        <v>65</v>
      </c>
      <c r="M244" s="601">
        <v>65</v>
      </c>
      <c r="N244" s="601">
        <v>65</v>
      </c>
      <c r="Q244" s="225"/>
      <c r="R244" s="225"/>
    </row>
    <row r="245" spans="1:18" ht="21.6" customHeight="1" x14ac:dyDescent="0.25">
      <c r="A245" s="842"/>
      <c r="B245" s="646"/>
      <c r="C245" s="654"/>
      <c r="D245" s="573"/>
      <c r="E245" s="573"/>
      <c r="F245" s="661"/>
      <c r="G245" s="199">
        <v>2025</v>
      </c>
      <c r="H245" s="191">
        <f>K243</f>
        <v>25165.57</v>
      </c>
      <c r="I245" s="605"/>
      <c r="J245" s="601"/>
      <c r="K245" s="603"/>
      <c r="L245" s="601"/>
      <c r="M245" s="601"/>
      <c r="N245" s="601"/>
      <c r="Q245" s="225"/>
      <c r="R245" s="225"/>
    </row>
    <row r="246" spans="1:18" ht="22.15" customHeight="1" x14ac:dyDescent="0.25">
      <c r="A246" s="842"/>
      <c r="B246" s="646"/>
      <c r="C246" s="654"/>
      <c r="D246" s="573"/>
      <c r="E246" s="573"/>
      <c r="F246" s="661"/>
      <c r="G246" s="199">
        <v>2026</v>
      </c>
      <c r="H246" s="191">
        <f>L243</f>
        <v>27782.789280000001</v>
      </c>
      <c r="I246" s="592"/>
      <c r="J246" s="602"/>
      <c r="K246" s="604"/>
      <c r="L246" s="602"/>
      <c r="M246" s="602"/>
      <c r="N246" s="602"/>
      <c r="Q246" s="225"/>
      <c r="R246" s="225"/>
    </row>
    <row r="247" spans="1:18" ht="26.25" x14ac:dyDescent="0.25">
      <c r="A247" s="842"/>
      <c r="B247" s="646"/>
      <c r="C247" s="654"/>
      <c r="D247" s="573"/>
      <c r="E247" s="573"/>
      <c r="F247" s="661"/>
      <c r="G247" s="199">
        <v>2027</v>
      </c>
      <c r="H247" s="191">
        <f>M243</f>
        <v>29421.973847520007</v>
      </c>
      <c r="I247" s="288" t="s">
        <v>21</v>
      </c>
      <c r="J247" s="196">
        <f>J243/J244</f>
        <v>352.28630769230767</v>
      </c>
      <c r="K247" s="195">
        <f>K243/K244</f>
        <v>387.16261538461538</v>
      </c>
      <c r="L247" s="3">
        <f>L243/L244</f>
        <v>427.42752738461542</v>
      </c>
      <c r="M247" s="3">
        <f>M243/M244</f>
        <v>452.64575150030777</v>
      </c>
      <c r="N247" s="3">
        <f>N243/N244</f>
        <v>479.35185083882601</v>
      </c>
      <c r="Q247" s="225"/>
      <c r="R247" s="225"/>
    </row>
    <row r="248" spans="1:18" ht="27" thickBot="1" x14ac:dyDescent="0.3">
      <c r="A248" s="842"/>
      <c r="B248" s="646"/>
      <c r="C248" s="654"/>
      <c r="D248" s="651"/>
      <c r="E248" s="651"/>
      <c r="F248" s="663"/>
      <c r="G248" s="236">
        <v>2028</v>
      </c>
      <c r="H248" s="235">
        <f>N243</f>
        <v>31157.870304523691</v>
      </c>
      <c r="I248" s="288" t="s">
        <v>131</v>
      </c>
      <c r="J248" s="161">
        <v>1</v>
      </c>
      <c r="K248" s="291">
        <v>1</v>
      </c>
      <c r="L248" s="39">
        <v>1</v>
      </c>
      <c r="M248" s="39">
        <v>1</v>
      </c>
      <c r="N248" s="39">
        <v>1</v>
      </c>
      <c r="Q248" s="225"/>
      <c r="R248" s="225"/>
    </row>
    <row r="249" spans="1:18" ht="33" customHeight="1" thickBot="1" x14ac:dyDescent="0.3">
      <c r="A249" s="842"/>
      <c r="B249" s="646"/>
      <c r="C249" s="653" t="s">
        <v>88</v>
      </c>
      <c r="D249" s="650" t="s">
        <v>222</v>
      </c>
      <c r="E249" s="650" t="s">
        <v>59</v>
      </c>
      <c r="F249" s="660" t="s">
        <v>8</v>
      </c>
      <c r="G249" s="74" t="s">
        <v>9</v>
      </c>
      <c r="H249" s="197">
        <f>H250+H253+H251+H252+H254</f>
        <v>22142.113457405125</v>
      </c>
      <c r="I249" s="174" t="s">
        <v>11</v>
      </c>
      <c r="J249" s="14">
        <v>3716.45</v>
      </c>
      <c r="K249" s="176">
        <f>4084.38</f>
        <v>4084.38</v>
      </c>
      <c r="L249" s="171">
        <f>4084.38*110.4%</f>
        <v>4509.1555200000003</v>
      </c>
      <c r="M249" s="171">
        <f>L249*105.9%</f>
        <v>4775.1956956800013</v>
      </c>
      <c r="N249" s="171">
        <f>M249*105.9%</f>
        <v>5056.9322417251224</v>
      </c>
      <c r="Q249" s="62"/>
      <c r="R249" s="225"/>
    </row>
    <row r="250" spans="1:18" ht="27.6" customHeight="1" x14ac:dyDescent="0.25">
      <c r="A250" s="842"/>
      <c r="B250" s="646"/>
      <c r="C250" s="654"/>
      <c r="D250" s="573"/>
      <c r="E250" s="573"/>
      <c r="F250" s="661"/>
      <c r="G250" s="198">
        <v>2024</v>
      </c>
      <c r="H250" s="202">
        <f>J249</f>
        <v>3716.45</v>
      </c>
      <c r="I250" s="605" t="s">
        <v>116</v>
      </c>
      <c r="J250" s="610">
        <v>150</v>
      </c>
      <c r="K250" s="603">
        <v>150</v>
      </c>
      <c r="L250" s="601">
        <v>150</v>
      </c>
      <c r="M250" s="601">
        <v>152</v>
      </c>
      <c r="N250" s="601">
        <v>155</v>
      </c>
      <c r="Q250" s="225"/>
      <c r="R250" s="225"/>
    </row>
    <row r="251" spans="1:18" ht="19.5" x14ac:dyDescent="0.25">
      <c r="A251" s="842"/>
      <c r="B251" s="646"/>
      <c r="C251" s="654"/>
      <c r="D251" s="573"/>
      <c r="E251" s="573"/>
      <c r="F251" s="661"/>
      <c r="G251" s="199">
        <v>2025</v>
      </c>
      <c r="H251" s="191">
        <f>K249</f>
        <v>4084.38</v>
      </c>
      <c r="I251" s="605"/>
      <c r="J251" s="601"/>
      <c r="K251" s="603"/>
      <c r="L251" s="601"/>
      <c r="M251" s="601"/>
      <c r="N251" s="601"/>
      <c r="Q251" s="225"/>
      <c r="R251" s="225"/>
    </row>
    <row r="252" spans="1:18" ht="19.5" x14ac:dyDescent="0.25">
      <c r="A252" s="842"/>
      <c r="B252" s="646"/>
      <c r="C252" s="654"/>
      <c r="D252" s="573"/>
      <c r="E252" s="573"/>
      <c r="F252" s="661"/>
      <c r="G252" s="199">
        <v>2026</v>
      </c>
      <c r="H252" s="191">
        <f>L249</f>
        <v>4509.1555200000003</v>
      </c>
      <c r="I252" s="592"/>
      <c r="J252" s="602"/>
      <c r="K252" s="604"/>
      <c r="L252" s="602"/>
      <c r="M252" s="602"/>
      <c r="N252" s="602"/>
      <c r="Q252" s="225"/>
      <c r="R252" s="225"/>
    </row>
    <row r="253" spans="1:18" ht="26.25" x14ac:dyDescent="0.25">
      <c r="A253" s="842"/>
      <c r="B253" s="646"/>
      <c r="C253" s="654"/>
      <c r="D253" s="573"/>
      <c r="E253" s="573"/>
      <c r="F253" s="661"/>
      <c r="G253" s="199">
        <v>2027</v>
      </c>
      <c r="H253" s="191">
        <f>M249</f>
        <v>4775.1956956800013</v>
      </c>
      <c r="I253" s="288" t="s">
        <v>21</v>
      </c>
      <c r="J253" s="445">
        <f>J249/J250</f>
        <v>24.776333333333334</v>
      </c>
      <c r="K253" s="195">
        <f>K249/K250</f>
        <v>27.229200000000002</v>
      </c>
      <c r="L253" s="3">
        <f>L249/L250</f>
        <v>30.0610368</v>
      </c>
      <c r="M253" s="3">
        <f>M249/M250</f>
        <v>31.415761155789482</v>
      </c>
      <c r="N253" s="3">
        <f>N249/N250</f>
        <v>32.625369301452402</v>
      </c>
      <c r="Q253" s="225"/>
      <c r="R253" s="225"/>
    </row>
    <row r="254" spans="1:18" ht="35.25" customHeight="1" thickBot="1" x14ac:dyDescent="0.3">
      <c r="A254" s="842"/>
      <c r="B254" s="646"/>
      <c r="C254" s="654"/>
      <c r="D254" s="651"/>
      <c r="E254" s="651"/>
      <c r="F254" s="663"/>
      <c r="G254" s="236">
        <v>2028</v>
      </c>
      <c r="H254" s="235">
        <f>N249</f>
        <v>5056.9322417251224</v>
      </c>
      <c r="I254" s="288" t="s">
        <v>131</v>
      </c>
      <c r="J254" s="296">
        <v>1</v>
      </c>
      <c r="K254" s="291">
        <v>1</v>
      </c>
      <c r="L254" s="39">
        <v>1</v>
      </c>
      <c r="M254" s="39">
        <v>1</v>
      </c>
      <c r="N254" s="39">
        <v>1</v>
      </c>
      <c r="Q254" s="225"/>
      <c r="R254" s="225"/>
    </row>
    <row r="255" spans="1:18" ht="32.25" customHeight="1" thickBot="1" x14ac:dyDescent="0.3">
      <c r="A255" s="842"/>
      <c r="B255" s="646"/>
      <c r="C255" s="653" t="s">
        <v>89</v>
      </c>
      <c r="D255" s="650" t="s">
        <v>222</v>
      </c>
      <c r="E255" s="650" t="s">
        <v>59</v>
      </c>
      <c r="F255" s="665" t="s">
        <v>8</v>
      </c>
      <c r="G255" s="74" t="s">
        <v>9</v>
      </c>
      <c r="H255" s="197">
        <f>H256+H257+H258+H259+H260</f>
        <v>32672.325337209608</v>
      </c>
      <c r="I255" s="174" t="s">
        <v>11</v>
      </c>
      <c r="J255" s="14">
        <v>6956.39</v>
      </c>
      <c r="K255" s="176">
        <f>5700.4</f>
        <v>5700.4</v>
      </c>
      <c r="L255" s="171">
        <f>5700.4*110.4%</f>
        <v>6293.2416000000003</v>
      </c>
      <c r="M255" s="171">
        <f>L255*105.9%</f>
        <v>6664.5428544000015</v>
      </c>
      <c r="N255" s="171">
        <f>M255*105.9%</f>
        <v>7057.7508828096024</v>
      </c>
      <c r="Q255" s="62"/>
      <c r="R255" s="225"/>
    </row>
    <row r="256" spans="1:18" ht="53.25" customHeight="1" x14ac:dyDescent="0.25">
      <c r="A256" s="842"/>
      <c r="B256" s="646"/>
      <c r="C256" s="654"/>
      <c r="D256" s="573"/>
      <c r="E256" s="573"/>
      <c r="F256" s="666"/>
      <c r="G256" s="189">
        <v>2024</v>
      </c>
      <c r="H256" s="202">
        <f>J255</f>
        <v>6956.39</v>
      </c>
      <c r="I256" s="287" t="s">
        <v>90</v>
      </c>
      <c r="J256" s="297">
        <v>1331</v>
      </c>
      <c r="K256" s="299">
        <v>1021</v>
      </c>
      <c r="L256" s="162">
        <v>1050</v>
      </c>
      <c r="M256" s="162">
        <v>1060</v>
      </c>
      <c r="N256" s="162">
        <v>1075</v>
      </c>
      <c r="Q256" s="225"/>
      <c r="R256" s="225"/>
    </row>
    <row r="257" spans="1:18" ht="19.5" x14ac:dyDescent="0.25">
      <c r="A257" s="842"/>
      <c r="B257" s="646"/>
      <c r="C257" s="654"/>
      <c r="D257" s="573"/>
      <c r="E257" s="573"/>
      <c r="F257" s="666"/>
      <c r="G257" s="199">
        <v>2025</v>
      </c>
      <c r="H257" s="191">
        <f>K255</f>
        <v>5700.4</v>
      </c>
      <c r="I257" s="288" t="s">
        <v>15</v>
      </c>
      <c r="J257" s="186">
        <v>851</v>
      </c>
      <c r="K257" s="187">
        <v>612</v>
      </c>
      <c r="L257" s="2">
        <v>612</v>
      </c>
      <c r="M257" s="2">
        <v>612</v>
      </c>
      <c r="N257" s="2">
        <v>612</v>
      </c>
      <c r="Q257" s="225"/>
      <c r="R257" s="225"/>
    </row>
    <row r="258" spans="1:18" ht="19.5" x14ac:dyDescent="0.25">
      <c r="A258" s="842"/>
      <c r="B258" s="646"/>
      <c r="C258" s="654"/>
      <c r="D258" s="573"/>
      <c r="E258" s="573"/>
      <c r="F258" s="666"/>
      <c r="G258" s="199">
        <v>2026</v>
      </c>
      <c r="H258" s="203">
        <f>L255</f>
        <v>6293.2416000000003</v>
      </c>
      <c r="I258" s="288" t="s">
        <v>16</v>
      </c>
      <c r="J258" s="186">
        <f>J256-J257</f>
        <v>480</v>
      </c>
      <c r="K258" s="187">
        <f>K256-K257</f>
        <v>409</v>
      </c>
      <c r="L258" s="2">
        <f>L256-L257</f>
        <v>438</v>
      </c>
      <c r="M258" s="2">
        <f>M256-M257</f>
        <v>448</v>
      </c>
      <c r="N258" s="2">
        <f>N256-N257</f>
        <v>463</v>
      </c>
      <c r="Q258" s="225"/>
      <c r="R258" s="225"/>
    </row>
    <row r="259" spans="1:18" ht="30.75" customHeight="1" x14ac:dyDescent="0.25">
      <c r="A259" s="842"/>
      <c r="B259" s="646"/>
      <c r="C259" s="654"/>
      <c r="D259" s="573"/>
      <c r="E259" s="573"/>
      <c r="F259" s="666"/>
      <c r="G259" s="199">
        <v>2027</v>
      </c>
      <c r="H259" s="191">
        <f>M255</f>
        <v>6664.5428544000015</v>
      </c>
      <c r="I259" s="288" t="s">
        <v>21</v>
      </c>
      <c r="J259" s="305">
        <f>J255/J256</f>
        <v>5.2264387678437272</v>
      </c>
      <c r="K259" s="304">
        <f>K255/K256</f>
        <v>5.5831537708129284</v>
      </c>
      <c r="L259" s="20">
        <f>L255/L256</f>
        <v>5.993563428571429</v>
      </c>
      <c r="M259" s="20">
        <f>M255/M256</f>
        <v>6.287304579622643</v>
      </c>
      <c r="N259" s="20">
        <f>N255/N256</f>
        <v>6.5653496584275368</v>
      </c>
      <c r="Q259" s="225"/>
      <c r="R259" s="225"/>
    </row>
    <row r="260" spans="1:18" ht="27" thickBot="1" x14ac:dyDescent="0.3">
      <c r="A260" s="842"/>
      <c r="B260" s="646"/>
      <c r="C260" s="654"/>
      <c r="D260" s="651"/>
      <c r="E260" s="651"/>
      <c r="F260" s="667"/>
      <c r="G260" s="236">
        <v>2028</v>
      </c>
      <c r="H260" s="204">
        <f>N255</f>
        <v>7057.7508828096024</v>
      </c>
      <c r="I260" s="289" t="s">
        <v>131</v>
      </c>
      <c r="J260" s="155">
        <v>1</v>
      </c>
      <c r="K260" s="158">
        <v>1</v>
      </c>
      <c r="L260" s="24">
        <v>1</v>
      </c>
      <c r="M260" s="24">
        <v>1</v>
      </c>
      <c r="N260" s="24">
        <v>1</v>
      </c>
      <c r="Q260" s="225"/>
      <c r="R260" s="225"/>
    </row>
    <row r="261" spans="1:18" ht="30.75" customHeight="1" thickBot="1" x14ac:dyDescent="0.3">
      <c r="A261" s="842"/>
      <c r="B261" s="646"/>
      <c r="C261" s="653" t="s">
        <v>47</v>
      </c>
      <c r="D261" s="650" t="s">
        <v>222</v>
      </c>
      <c r="E261" s="650" t="s">
        <v>59</v>
      </c>
      <c r="F261" s="660" t="s">
        <v>8</v>
      </c>
      <c r="G261" s="74" t="s">
        <v>9</v>
      </c>
      <c r="H261" s="197">
        <f>H262+H265+H263+H264+H266</f>
        <v>1931705.3755732761</v>
      </c>
      <c r="I261" s="306" t="s">
        <v>11</v>
      </c>
      <c r="J261" s="14">
        <v>305360.71999999997</v>
      </c>
      <c r="K261" s="176">
        <f>360508.57</f>
        <v>360508.57</v>
      </c>
      <c r="L261" s="171">
        <f>360508.57*110.4%</f>
        <v>398001.46128000005</v>
      </c>
      <c r="M261" s="171">
        <f>L261*105.9%</f>
        <v>421483.54749552009</v>
      </c>
      <c r="N261" s="171">
        <f>M261*105.9%</f>
        <v>446351.07679775584</v>
      </c>
      <c r="Q261" s="62"/>
      <c r="R261" s="225"/>
    </row>
    <row r="262" spans="1:18" ht="27" customHeight="1" x14ac:dyDescent="0.25">
      <c r="A262" s="842"/>
      <c r="B262" s="646"/>
      <c r="C262" s="654"/>
      <c r="D262" s="573"/>
      <c r="E262" s="573"/>
      <c r="F262" s="661"/>
      <c r="G262" s="237">
        <v>2024</v>
      </c>
      <c r="H262" s="66">
        <f>J261</f>
        <v>305360.71999999997</v>
      </c>
      <c r="I262" s="609" t="s">
        <v>91</v>
      </c>
      <c r="J262" s="603">
        <v>528</v>
      </c>
      <c r="K262" s="603">
        <v>532</v>
      </c>
      <c r="L262" s="601">
        <v>550</v>
      </c>
      <c r="M262" s="601">
        <v>560</v>
      </c>
      <c r="N262" s="601">
        <v>570</v>
      </c>
      <c r="Q262" s="225"/>
      <c r="R262" s="225"/>
    </row>
    <row r="263" spans="1:18" ht="19.5" x14ac:dyDescent="0.25">
      <c r="A263" s="842"/>
      <c r="B263" s="646"/>
      <c r="C263" s="654"/>
      <c r="D263" s="573"/>
      <c r="E263" s="573"/>
      <c r="F263" s="661"/>
      <c r="G263" s="183">
        <v>2025</v>
      </c>
      <c r="H263" s="67">
        <f>K261</f>
        <v>360508.57</v>
      </c>
      <c r="I263" s="605"/>
      <c r="J263" s="603"/>
      <c r="K263" s="603"/>
      <c r="L263" s="601"/>
      <c r="M263" s="601"/>
      <c r="N263" s="601"/>
      <c r="Q263" s="225"/>
      <c r="R263" s="225"/>
    </row>
    <row r="264" spans="1:18" ht="23.25" customHeight="1" x14ac:dyDescent="0.25">
      <c r="A264" s="842"/>
      <c r="B264" s="646"/>
      <c r="C264" s="654"/>
      <c r="D264" s="573"/>
      <c r="E264" s="573"/>
      <c r="F264" s="661"/>
      <c r="G264" s="183">
        <v>2026</v>
      </c>
      <c r="H264" s="67">
        <f>L261</f>
        <v>398001.46128000005</v>
      </c>
      <c r="I264" s="605"/>
      <c r="J264" s="604"/>
      <c r="K264" s="604"/>
      <c r="L264" s="602"/>
      <c r="M264" s="602"/>
      <c r="N264" s="602"/>
      <c r="Q264" s="225"/>
      <c r="R264" s="225"/>
    </row>
    <row r="265" spans="1:18" ht="30.75" customHeight="1" x14ac:dyDescent="0.25">
      <c r="A265" s="842"/>
      <c r="B265" s="646"/>
      <c r="C265" s="654"/>
      <c r="D265" s="573"/>
      <c r="E265" s="573"/>
      <c r="F265" s="661"/>
      <c r="G265" s="183">
        <v>2027</v>
      </c>
      <c r="H265" s="67">
        <f>M261</f>
        <v>421483.54749552009</v>
      </c>
      <c r="I265" s="288" t="s">
        <v>10</v>
      </c>
      <c r="J265" s="195">
        <f>J261/J262</f>
        <v>578.33469696969689</v>
      </c>
      <c r="K265" s="195">
        <f>K261/K262</f>
        <v>677.64768796992485</v>
      </c>
      <c r="L265" s="3">
        <f>L261/L262</f>
        <v>723.63902050909098</v>
      </c>
      <c r="M265" s="3">
        <f>M261/M262</f>
        <v>752.6491919562859</v>
      </c>
      <c r="N265" s="3">
        <f>N261/N262</f>
        <v>783.07206455746643</v>
      </c>
      <c r="Q265" s="225"/>
      <c r="R265" s="225"/>
    </row>
    <row r="266" spans="1:18" ht="42.75" customHeight="1" thickBot="1" x14ac:dyDescent="0.3">
      <c r="A266" s="842"/>
      <c r="B266" s="646"/>
      <c r="C266" s="654"/>
      <c r="D266" s="651"/>
      <c r="E266" s="651"/>
      <c r="F266" s="663"/>
      <c r="G266" s="238">
        <v>2028</v>
      </c>
      <c r="H266" s="242">
        <f>N261</f>
        <v>446351.07679775584</v>
      </c>
      <c r="I266" s="288" t="s">
        <v>131</v>
      </c>
      <c r="J266" s="291">
        <v>1</v>
      </c>
      <c r="K266" s="291">
        <v>1</v>
      </c>
      <c r="L266" s="39">
        <v>1</v>
      </c>
      <c r="M266" s="39">
        <v>1</v>
      </c>
      <c r="N266" s="39">
        <v>1</v>
      </c>
      <c r="Q266" s="225"/>
      <c r="R266" s="225"/>
    </row>
    <row r="267" spans="1:18" ht="34.5" customHeight="1" thickBot="1" x14ac:dyDescent="0.3">
      <c r="A267" s="842"/>
      <c r="B267" s="646"/>
      <c r="C267" s="655" t="s">
        <v>118</v>
      </c>
      <c r="D267" s="650" t="s">
        <v>222</v>
      </c>
      <c r="E267" s="650" t="s">
        <v>59</v>
      </c>
      <c r="F267" s="708" t="s">
        <v>8</v>
      </c>
      <c r="G267" s="175" t="s">
        <v>9</v>
      </c>
      <c r="H267" s="173">
        <f>H268+H271+H269+H270+H272</f>
        <v>7959031.7711747056</v>
      </c>
      <c r="I267" s="174" t="s">
        <v>11</v>
      </c>
      <c r="J267" s="176">
        <v>1335886.58</v>
      </c>
      <c r="K267" s="176">
        <f>1468139.36</f>
        <v>1468139.36</v>
      </c>
      <c r="L267" s="171">
        <f>1468139.36*110.4%</f>
        <v>1620825.8534400002</v>
      </c>
      <c r="M267" s="171">
        <f>L267*105.9%</f>
        <v>1716454.5787929604</v>
      </c>
      <c r="N267" s="171">
        <f>M267*105.9%</f>
        <v>1817725.3989417453</v>
      </c>
      <c r="Q267" s="62"/>
      <c r="R267" s="225"/>
    </row>
    <row r="268" spans="1:18" ht="38.25" customHeight="1" x14ac:dyDescent="0.25">
      <c r="A268" s="842"/>
      <c r="B268" s="646"/>
      <c r="C268" s="656"/>
      <c r="D268" s="573"/>
      <c r="E268" s="573"/>
      <c r="F268" s="658"/>
      <c r="G268" s="237">
        <v>2024</v>
      </c>
      <c r="H268" s="243">
        <f>J267</f>
        <v>1335886.58</v>
      </c>
      <c r="I268" s="609" t="s">
        <v>117</v>
      </c>
      <c r="J268" s="603">
        <v>1573</v>
      </c>
      <c r="K268" s="610">
        <v>1573</v>
      </c>
      <c r="L268" s="611">
        <v>7500</v>
      </c>
      <c r="M268" s="611">
        <v>7650</v>
      </c>
      <c r="N268" s="611">
        <v>7800</v>
      </c>
      <c r="Q268" s="225"/>
      <c r="R268" s="225"/>
    </row>
    <row r="269" spans="1:18" ht="19.5" x14ac:dyDescent="0.25">
      <c r="A269" s="842"/>
      <c r="B269" s="646"/>
      <c r="C269" s="656"/>
      <c r="D269" s="573"/>
      <c r="E269" s="573"/>
      <c r="F269" s="658"/>
      <c r="G269" s="239">
        <v>2025</v>
      </c>
      <c r="H269" s="67">
        <f>K267</f>
        <v>1468139.36</v>
      </c>
      <c r="I269" s="605"/>
      <c r="J269" s="603"/>
      <c r="K269" s="601"/>
      <c r="L269" s="611"/>
      <c r="M269" s="611"/>
      <c r="N269" s="611"/>
      <c r="Q269" s="225"/>
      <c r="R269" s="225"/>
    </row>
    <row r="270" spans="1:18" ht="19.5" x14ac:dyDescent="0.25">
      <c r="A270" s="842"/>
      <c r="B270" s="646"/>
      <c r="C270" s="656"/>
      <c r="D270" s="573"/>
      <c r="E270" s="573"/>
      <c r="F270" s="658"/>
      <c r="G270" s="239">
        <v>2026</v>
      </c>
      <c r="H270" s="67">
        <f>L267</f>
        <v>1620825.8534400002</v>
      </c>
      <c r="I270" s="592"/>
      <c r="J270" s="604"/>
      <c r="K270" s="602"/>
      <c r="L270" s="612"/>
      <c r="M270" s="612"/>
      <c r="N270" s="612"/>
      <c r="Q270" s="225"/>
      <c r="R270" s="225"/>
    </row>
    <row r="271" spans="1:18" ht="33.75" customHeight="1" x14ac:dyDescent="0.25">
      <c r="A271" s="842"/>
      <c r="B271" s="646"/>
      <c r="C271" s="656"/>
      <c r="D271" s="573"/>
      <c r="E271" s="573"/>
      <c r="F271" s="658"/>
      <c r="G271" s="239">
        <v>2027</v>
      </c>
      <c r="H271" s="67">
        <f>M267</f>
        <v>1716454.5787929604</v>
      </c>
      <c r="I271" s="295" t="s">
        <v>21</v>
      </c>
      <c r="J271" s="195">
        <f>J267/J268</f>
        <v>849.26038143674509</v>
      </c>
      <c r="K271" s="307">
        <f>K267/K268</f>
        <v>933.33716465352836</v>
      </c>
      <c r="L271" s="3">
        <f>L267/L268</f>
        <v>216.11011379200002</v>
      </c>
      <c r="M271" s="3">
        <f>M267/M268</f>
        <v>224.37314755463535</v>
      </c>
      <c r="N271" s="3">
        <f>N267/N268</f>
        <v>233.04171781304427</v>
      </c>
      <c r="Q271" s="225"/>
      <c r="R271" s="225"/>
    </row>
    <row r="272" spans="1:18" ht="38.25" customHeight="1" thickBot="1" x14ac:dyDescent="0.3">
      <c r="A272" s="842"/>
      <c r="B272" s="646"/>
      <c r="C272" s="664"/>
      <c r="D272" s="651"/>
      <c r="E272" s="651"/>
      <c r="F272" s="659"/>
      <c r="G272" s="240">
        <v>2028</v>
      </c>
      <c r="H272" s="242">
        <f>N267</f>
        <v>1817725.3989417453</v>
      </c>
      <c r="I272" s="298" t="s">
        <v>131</v>
      </c>
      <c r="J272" s="291">
        <v>1</v>
      </c>
      <c r="K272" s="291">
        <v>1</v>
      </c>
      <c r="L272" s="39">
        <v>1</v>
      </c>
      <c r="M272" s="39">
        <v>1</v>
      </c>
      <c r="N272" s="39">
        <v>1</v>
      </c>
      <c r="Q272" s="225"/>
      <c r="R272" s="225"/>
    </row>
    <row r="273" spans="1:18" ht="29.25" customHeight="1" thickBot="1" x14ac:dyDescent="0.3">
      <c r="A273" s="842"/>
      <c r="B273" s="646"/>
      <c r="C273" s="653" t="s">
        <v>119</v>
      </c>
      <c r="D273" s="665" t="s">
        <v>222</v>
      </c>
      <c r="E273" s="650" t="s">
        <v>59</v>
      </c>
      <c r="F273" s="650" t="s">
        <v>8</v>
      </c>
      <c r="G273" s="241" t="s">
        <v>9</v>
      </c>
      <c r="H273" s="173">
        <f>H274+H275+H276+H277+H278</f>
        <v>162235.69685706194</v>
      </c>
      <c r="I273" s="174" t="s">
        <v>11</v>
      </c>
      <c r="J273" s="176">
        <v>27230.51</v>
      </c>
      <c r="K273" s="176">
        <f>29926.33</f>
        <v>29926.33</v>
      </c>
      <c r="L273" s="171">
        <f>29926.33*110.4%</f>
        <v>33038.668320000004</v>
      </c>
      <c r="M273" s="171">
        <f>L273*105.9%</f>
        <v>34987.949750880012</v>
      </c>
      <c r="N273" s="171">
        <f>M273*105.9%</f>
        <v>37052.238786181937</v>
      </c>
      <c r="Q273" s="62"/>
      <c r="R273" s="225"/>
    </row>
    <row r="274" spans="1:18" ht="19.5" x14ac:dyDescent="0.25">
      <c r="A274" s="842"/>
      <c r="B274" s="646"/>
      <c r="C274" s="654"/>
      <c r="D274" s="666"/>
      <c r="E274" s="573"/>
      <c r="F274" s="573"/>
      <c r="G274" s="201">
        <v>2024</v>
      </c>
      <c r="H274" s="243">
        <f>J273</f>
        <v>27230.51</v>
      </c>
      <c r="I274" s="295" t="s">
        <v>14</v>
      </c>
      <c r="J274" s="307"/>
      <c r="K274" s="307"/>
      <c r="L274" s="166"/>
      <c r="M274" s="166"/>
      <c r="N274" s="166"/>
      <c r="Q274" s="225"/>
      <c r="R274" s="225"/>
    </row>
    <row r="275" spans="1:18" ht="26.25" x14ac:dyDescent="0.25">
      <c r="A275" s="842"/>
      <c r="B275" s="646"/>
      <c r="C275" s="654"/>
      <c r="D275" s="666"/>
      <c r="E275" s="573"/>
      <c r="F275" s="573"/>
      <c r="G275" s="183">
        <v>2025</v>
      </c>
      <c r="H275" s="67">
        <f>K273</f>
        <v>29926.33</v>
      </c>
      <c r="I275" s="288" t="s">
        <v>25</v>
      </c>
      <c r="J275" s="187">
        <v>29300</v>
      </c>
      <c r="K275" s="187">
        <v>29300</v>
      </c>
      <c r="L275" s="2">
        <v>29300</v>
      </c>
      <c r="M275" s="2">
        <v>29300</v>
      </c>
      <c r="N275" s="2">
        <v>29300</v>
      </c>
      <c r="Q275" s="225"/>
      <c r="R275" s="225"/>
    </row>
    <row r="276" spans="1:18" ht="19.5" x14ac:dyDescent="0.25">
      <c r="A276" s="842"/>
      <c r="B276" s="646"/>
      <c r="C276" s="654"/>
      <c r="D276" s="666"/>
      <c r="E276" s="573"/>
      <c r="F276" s="573"/>
      <c r="G276" s="183">
        <v>2026</v>
      </c>
      <c r="H276" s="244">
        <f>L273</f>
        <v>33038.668320000004</v>
      </c>
      <c r="I276" s="288" t="s">
        <v>23</v>
      </c>
      <c r="J276" s="187">
        <f>J279/J278*J275</f>
        <v>20284.615384615383</v>
      </c>
      <c r="K276" s="187">
        <v>20285</v>
      </c>
      <c r="L276" s="2">
        <v>20285</v>
      </c>
      <c r="M276" s="2">
        <v>20285</v>
      </c>
      <c r="N276" s="2">
        <v>20285</v>
      </c>
      <c r="Q276" s="225"/>
      <c r="R276" s="225"/>
    </row>
    <row r="277" spans="1:18" ht="19.5" x14ac:dyDescent="0.25">
      <c r="A277" s="842"/>
      <c r="B277" s="646"/>
      <c r="C277" s="654"/>
      <c r="D277" s="666"/>
      <c r="E277" s="573"/>
      <c r="F277" s="573"/>
      <c r="G277" s="183">
        <v>2027</v>
      </c>
      <c r="H277" s="67">
        <f>M273</f>
        <v>34987.949750880012</v>
      </c>
      <c r="I277" s="288" t="s">
        <v>24</v>
      </c>
      <c r="J277" s="187">
        <f>J275-J276</f>
        <v>9015.3846153846171</v>
      </c>
      <c r="K277" s="187">
        <f>K275-K276</f>
        <v>9015</v>
      </c>
      <c r="L277" s="2">
        <f>L275-L276</f>
        <v>9015</v>
      </c>
      <c r="M277" s="2">
        <f>M275-M276</f>
        <v>9015</v>
      </c>
      <c r="N277" s="2">
        <f>N275-N276</f>
        <v>9015</v>
      </c>
      <c r="Q277" s="225"/>
      <c r="R277" s="225"/>
    </row>
    <row r="278" spans="1:18" ht="52.5" thickBot="1" x14ac:dyDescent="0.3">
      <c r="A278" s="842"/>
      <c r="B278" s="646"/>
      <c r="C278" s="654"/>
      <c r="D278" s="666"/>
      <c r="E278" s="573"/>
      <c r="F278" s="573"/>
      <c r="G278" s="183">
        <v>2028</v>
      </c>
      <c r="H278" s="68">
        <f>N273</f>
        <v>37052.238786181937</v>
      </c>
      <c r="I278" s="288" t="s">
        <v>26</v>
      </c>
      <c r="J278" s="187">
        <v>650</v>
      </c>
      <c r="K278" s="187">
        <v>650</v>
      </c>
      <c r="L278" s="2">
        <v>650</v>
      </c>
      <c r="M278" s="2">
        <v>650</v>
      </c>
      <c r="N278" s="2">
        <v>650</v>
      </c>
      <c r="Q278" s="225"/>
      <c r="R278" s="225"/>
    </row>
    <row r="279" spans="1:18" ht="19.5" x14ac:dyDescent="0.25">
      <c r="A279" s="842"/>
      <c r="B279" s="646"/>
      <c r="C279" s="654"/>
      <c r="D279" s="666"/>
      <c r="E279" s="573"/>
      <c r="F279" s="573"/>
      <c r="G279" s="183"/>
      <c r="H279" s="66"/>
      <c r="I279" s="288" t="s">
        <v>23</v>
      </c>
      <c r="J279" s="187">
        <v>450</v>
      </c>
      <c r="K279" s="187">
        <v>450</v>
      </c>
      <c r="L279" s="2">
        <v>450</v>
      </c>
      <c r="M279" s="2">
        <v>450</v>
      </c>
      <c r="N279" s="2">
        <v>450</v>
      </c>
      <c r="Q279" s="225"/>
      <c r="R279" s="225"/>
    </row>
    <row r="280" spans="1:18" x14ac:dyDescent="0.25">
      <c r="A280" s="842"/>
      <c r="B280" s="646"/>
      <c r="C280" s="654"/>
      <c r="D280" s="666"/>
      <c r="E280" s="573"/>
      <c r="F280" s="573"/>
      <c r="G280" s="168"/>
      <c r="H280" s="246"/>
      <c r="I280" s="288" t="s">
        <v>24</v>
      </c>
      <c r="J280" s="187">
        <v>200</v>
      </c>
      <c r="K280" s="187">
        <v>200</v>
      </c>
      <c r="L280" s="2">
        <v>200</v>
      </c>
      <c r="M280" s="2">
        <v>200</v>
      </c>
      <c r="N280" s="2">
        <v>200</v>
      </c>
      <c r="Q280" s="225"/>
      <c r="R280" s="225"/>
    </row>
    <row r="281" spans="1:18" ht="89.25" x14ac:dyDescent="0.25">
      <c r="A281" s="842"/>
      <c r="B281" s="646"/>
      <c r="C281" s="654"/>
      <c r="D281" s="666"/>
      <c r="E281" s="573"/>
      <c r="F281" s="573"/>
      <c r="G281" s="168"/>
      <c r="H281" s="244"/>
      <c r="I281" s="308" t="s">
        <v>226</v>
      </c>
      <c r="J281" s="196">
        <f>J273/(J275+J278)</f>
        <v>0.90919899833055084</v>
      </c>
      <c r="K281" s="195">
        <f>K273/(K275+K278)</f>
        <v>0.99920968280467448</v>
      </c>
      <c r="L281" s="3">
        <f>L273/(L275+L278)</f>
        <v>1.1031274898163608</v>
      </c>
      <c r="M281" s="3">
        <f>M273/(M275+M278)</f>
        <v>1.1682120117155264</v>
      </c>
      <c r="N281" s="3">
        <f>N273/(N275+N278)</f>
        <v>1.2371365204067424</v>
      </c>
      <c r="Q281" s="225"/>
      <c r="R281" s="225"/>
    </row>
    <row r="282" spans="1:18" ht="39.75" thickBot="1" x14ac:dyDescent="0.3">
      <c r="A282" s="842"/>
      <c r="B282" s="646"/>
      <c r="C282" s="654"/>
      <c r="D282" s="667"/>
      <c r="E282" s="651"/>
      <c r="F282" s="651"/>
      <c r="G282" s="245"/>
      <c r="H282" s="68"/>
      <c r="I282" s="288" t="s">
        <v>167</v>
      </c>
      <c r="J282" s="296">
        <v>1</v>
      </c>
      <c r="K282" s="291">
        <v>1</v>
      </c>
      <c r="L282" s="39">
        <v>1</v>
      </c>
      <c r="M282" s="39">
        <v>1</v>
      </c>
      <c r="N282" s="39">
        <v>1</v>
      </c>
      <c r="Q282" s="225"/>
      <c r="R282" s="225"/>
    </row>
    <row r="283" spans="1:18" ht="27" thickBot="1" x14ac:dyDescent="0.3">
      <c r="A283" s="842"/>
      <c r="B283" s="646"/>
      <c r="C283" s="653" t="s">
        <v>92</v>
      </c>
      <c r="D283" s="650" t="s">
        <v>222</v>
      </c>
      <c r="E283" s="650" t="s">
        <v>59</v>
      </c>
      <c r="F283" s="657" t="s">
        <v>8</v>
      </c>
      <c r="G283" s="175" t="s">
        <v>9</v>
      </c>
      <c r="H283" s="173">
        <f>H284+H285+H286+H287+H288</f>
        <v>57778.337401199838</v>
      </c>
      <c r="I283" s="174" t="s">
        <v>11</v>
      </c>
      <c r="J283" s="14">
        <v>9697.83</v>
      </c>
      <c r="K283" s="176">
        <f>10657.91</f>
        <v>10657.91</v>
      </c>
      <c r="L283" s="171">
        <f>10657.91*110.4%</f>
        <v>11766.332640000001</v>
      </c>
      <c r="M283" s="171">
        <f>L283*105.9%</f>
        <v>12460.546265760002</v>
      </c>
      <c r="N283" s="171">
        <f>M283*105.9%</f>
        <v>13195.718495439844</v>
      </c>
      <c r="Q283" s="62"/>
      <c r="R283" s="225"/>
    </row>
    <row r="284" spans="1:18" ht="66.75" customHeight="1" x14ac:dyDescent="0.25">
      <c r="A284" s="842"/>
      <c r="B284" s="646"/>
      <c r="C284" s="654"/>
      <c r="D284" s="573"/>
      <c r="E284" s="573"/>
      <c r="F284" s="658"/>
      <c r="G284" s="189">
        <v>2024</v>
      </c>
      <c r="H284" s="202">
        <f>J283</f>
        <v>9697.83</v>
      </c>
      <c r="I284" s="295" t="s">
        <v>93</v>
      </c>
      <c r="J284" s="165">
        <v>1220</v>
      </c>
      <c r="K284" s="275">
        <v>1220</v>
      </c>
      <c r="L284" s="162">
        <v>1200</v>
      </c>
      <c r="M284" s="162">
        <v>1180</v>
      </c>
      <c r="N284" s="162">
        <v>1170</v>
      </c>
      <c r="Q284" s="225"/>
      <c r="R284" s="225"/>
    </row>
    <row r="285" spans="1:18" ht="26.25" x14ac:dyDescent="0.25">
      <c r="A285" s="842"/>
      <c r="B285" s="646"/>
      <c r="C285" s="654"/>
      <c r="D285" s="573"/>
      <c r="E285" s="573"/>
      <c r="F285" s="658"/>
      <c r="G285" s="199">
        <v>2025</v>
      </c>
      <c r="H285" s="191">
        <f>K283</f>
        <v>10657.91</v>
      </c>
      <c r="I285" s="288" t="s">
        <v>21</v>
      </c>
      <c r="J285" s="196">
        <f>J283/J284</f>
        <v>7.9490409836065572</v>
      </c>
      <c r="K285" s="195">
        <f>K283/K284</f>
        <v>8.7359918032786883</v>
      </c>
      <c r="L285" s="3">
        <f>L283/L284</f>
        <v>9.8052772000000008</v>
      </c>
      <c r="M285" s="3">
        <f>M283/M284</f>
        <v>10.559784970983053</v>
      </c>
      <c r="N285" s="3">
        <f>N283/N284</f>
        <v>11.27839187644431</v>
      </c>
      <c r="Q285" s="225"/>
      <c r="R285" s="225"/>
    </row>
    <row r="286" spans="1:18" ht="21.6" customHeight="1" x14ac:dyDescent="0.25">
      <c r="A286" s="842"/>
      <c r="B286" s="646"/>
      <c r="C286" s="654"/>
      <c r="D286" s="573"/>
      <c r="E286" s="573"/>
      <c r="F286" s="707"/>
      <c r="G286" s="199">
        <v>2026</v>
      </c>
      <c r="H286" s="192">
        <f>L283</f>
        <v>11766.332640000001</v>
      </c>
      <c r="I286" s="568" t="s">
        <v>131</v>
      </c>
      <c r="J286" s="581">
        <v>1</v>
      </c>
      <c r="K286" s="584">
        <v>1</v>
      </c>
      <c r="L286" s="581">
        <v>1</v>
      </c>
      <c r="M286" s="581">
        <v>1</v>
      </c>
      <c r="N286" s="581">
        <v>1</v>
      </c>
      <c r="Q286" s="225"/>
      <c r="R286" s="225"/>
    </row>
    <row r="287" spans="1:18" ht="22.15" customHeight="1" x14ac:dyDescent="0.25">
      <c r="A287" s="842"/>
      <c r="B287" s="646"/>
      <c r="C287" s="654"/>
      <c r="D287" s="573"/>
      <c r="E287" s="573"/>
      <c r="F287" s="707"/>
      <c r="G287" s="199">
        <v>2027</v>
      </c>
      <c r="H287" s="192">
        <f>M283</f>
        <v>12460.546265760002</v>
      </c>
      <c r="I287" s="569"/>
      <c r="J287" s="582"/>
      <c r="K287" s="585"/>
      <c r="L287" s="582"/>
      <c r="M287" s="582"/>
      <c r="N287" s="582"/>
      <c r="Q287" s="225"/>
      <c r="R287" s="225"/>
    </row>
    <row r="288" spans="1:18" ht="19.5" customHeight="1" thickBot="1" x14ac:dyDescent="0.3">
      <c r="A288" s="842"/>
      <c r="B288" s="646"/>
      <c r="C288" s="654"/>
      <c r="D288" s="651"/>
      <c r="E288" s="651"/>
      <c r="F288" s="659"/>
      <c r="G288" s="236">
        <v>2028</v>
      </c>
      <c r="H288" s="235">
        <f>N283</f>
        <v>13195.718495439844</v>
      </c>
      <c r="I288" s="570"/>
      <c r="J288" s="583"/>
      <c r="K288" s="589"/>
      <c r="L288" s="583"/>
      <c r="M288" s="583"/>
      <c r="N288" s="583"/>
      <c r="Q288" s="225"/>
      <c r="R288" s="225"/>
    </row>
    <row r="289" spans="1:18" ht="27" thickBot="1" x14ac:dyDescent="0.3">
      <c r="A289" s="842"/>
      <c r="B289" s="646"/>
      <c r="C289" s="653" t="s">
        <v>94</v>
      </c>
      <c r="D289" s="650" t="s">
        <v>222</v>
      </c>
      <c r="E289" s="650" t="s">
        <v>59</v>
      </c>
      <c r="F289" s="708" t="s">
        <v>8</v>
      </c>
      <c r="G289" s="74" t="s">
        <v>9</v>
      </c>
      <c r="H289" s="197">
        <f>H290+H293+H291+H292+H294</f>
        <v>2611800.6130506331</v>
      </c>
      <c r="I289" s="174" t="s">
        <v>11</v>
      </c>
      <c r="J289" s="14">
        <v>353253.66</v>
      </c>
      <c r="K289" s="176">
        <f>500647.59</f>
        <v>500647.59</v>
      </c>
      <c r="L289" s="171">
        <f>500647.59*110.4%</f>
        <v>552714.93936000008</v>
      </c>
      <c r="M289" s="171">
        <f>L289*105.9%</f>
        <v>585325.12078224018</v>
      </c>
      <c r="N289" s="171">
        <f>M289*105.9%</f>
        <v>619859.30290839239</v>
      </c>
      <c r="Q289" s="62"/>
      <c r="R289" s="225"/>
    </row>
    <row r="290" spans="1:18" ht="57" customHeight="1" x14ac:dyDescent="0.25">
      <c r="A290" s="842"/>
      <c r="B290" s="646"/>
      <c r="C290" s="654"/>
      <c r="D290" s="573"/>
      <c r="E290" s="573"/>
      <c r="F290" s="658"/>
      <c r="G290" s="189">
        <v>2024</v>
      </c>
      <c r="H290" s="202">
        <f>J289</f>
        <v>353253.66</v>
      </c>
      <c r="I290" s="569" t="s">
        <v>134</v>
      </c>
      <c r="J290" s="601">
        <v>1001</v>
      </c>
      <c r="K290" s="603">
        <v>1295</v>
      </c>
      <c r="L290" s="601">
        <v>1340</v>
      </c>
      <c r="M290" s="601">
        <v>1355</v>
      </c>
      <c r="N290" s="601">
        <v>1400</v>
      </c>
      <c r="Q290" s="225"/>
      <c r="R290" s="225"/>
    </row>
    <row r="291" spans="1:18" ht="21.6" customHeight="1" x14ac:dyDescent="0.25">
      <c r="A291" s="842"/>
      <c r="B291" s="646"/>
      <c r="C291" s="654"/>
      <c r="D291" s="573"/>
      <c r="E291" s="573"/>
      <c r="F291" s="658"/>
      <c r="G291" s="199">
        <v>2025</v>
      </c>
      <c r="H291" s="191">
        <f>K289</f>
        <v>500647.59</v>
      </c>
      <c r="I291" s="569"/>
      <c r="J291" s="601"/>
      <c r="K291" s="603"/>
      <c r="L291" s="601"/>
      <c r="M291" s="601"/>
      <c r="N291" s="601"/>
      <c r="Q291" s="225"/>
      <c r="R291" s="225"/>
    </row>
    <row r="292" spans="1:18" ht="24" customHeight="1" x14ac:dyDescent="0.25">
      <c r="A292" s="842"/>
      <c r="B292" s="646"/>
      <c r="C292" s="654"/>
      <c r="D292" s="573"/>
      <c r="E292" s="573"/>
      <c r="F292" s="658"/>
      <c r="G292" s="199">
        <v>2026</v>
      </c>
      <c r="H292" s="191">
        <f>L289</f>
        <v>552714.93936000008</v>
      </c>
      <c r="I292" s="590"/>
      <c r="J292" s="602"/>
      <c r="K292" s="604"/>
      <c r="L292" s="602"/>
      <c r="M292" s="602"/>
      <c r="N292" s="602"/>
      <c r="Q292" s="225"/>
      <c r="R292" s="225"/>
    </row>
    <row r="293" spans="1:18" ht="26.25" x14ac:dyDescent="0.25">
      <c r="A293" s="842"/>
      <c r="B293" s="646"/>
      <c r="C293" s="654"/>
      <c r="D293" s="573"/>
      <c r="E293" s="573"/>
      <c r="F293" s="658"/>
      <c r="G293" s="199">
        <v>2027</v>
      </c>
      <c r="H293" s="191">
        <f>M289</f>
        <v>585325.12078224018</v>
      </c>
      <c r="I293" s="288" t="s">
        <v>21</v>
      </c>
      <c r="J293" s="196">
        <f>J289/J290</f>
        <v>352.90075924075921</v>
      </c>
      <c r="K293" s="195">
        <f>K289/K290</f>
        <v>386.6004555984556</v>
      </c>
      <c r="L293" s="3">
        <f>L289/L290</f>
        <v>412.47383534328367</v>
      </c>
      <c r="M293" s="3">
        <f>M289/M290</f>
        <v>431.97425887988203</v>
      </c>
      <c r="N293" s="3">
        <f>N289/N290</f>
        <v>442.756644934566</v>
      </c>
      <c r="Q293" s="225"/>
      <c r="R293" s="225"/>
    </row>
    <row r="294" spans="1:18" ht="27" thickBot="1" x14ac:dyDescent="0.3">
      <c r="A294" s="842"/>
      <c r="B294" s="646"/>
      <c r="C294" s="654"/>
      <c r="D294" s="651"/>
      <c r="E294" s="651"/>
      <c r="F294" s="659"/>
      <c r="G294" s="236">
        <v>2028</v>
      </c>
      <c r="H294" s="235">
        <f>N289</f>
        <v>619859.30290839239</v>
      </c>
      <c r="I294" s="288" t="s">
        <v>131</v>
      </c>
      <c r="J294" s="296">
        <v>1</v>
      </c>
      <c r="K294" s="291">
        <v>1</v>
      </c>
      <c r="L294" s="39">
        <v>1</v>
      </c>
      <c r="M294" s="39">
        <v>1</v>
      </c>
      <c r="N294" s="39">
        <v>1</v>
      </c>
      <c r="Q294" s="225"/>
      <c r="R294" s="225"/>
    </row>
    <row r="295" spans="1:18" ht="27" thickBot="1" x14ac:dyDescent="0.3">
      <c r="A295" s="842"/>
      <c r="B295" s="646"/>
      <c r="C295" s="653" t="s">
        <v>95</v>
      </c>
      <c r="D295" s="650" t="s">
        <v>222</v>
      </c>
      <c r="E295" s="650" t="s">
        <v>59</v>
      </c>
      <c r="F295" s="708" t="s">
        <v>8</v>
      </c>
      <c r="G295" s="74" t="s">
        <v>9</v>
      </c>
      <c r="H295" s="197">
        <f>H296+H299+H297+H298+H300</f>
        <v>675614.98145904765</v>
      </c>
      <c r="I295" s="174" t="s">
        <v>11</v>
      </c>
      <c r="J295" s="14">
        <v>91348.29</v>
      </c>
      <c r="K295" s="176">
        <f>129513.23</f>
        <v>129513.23</v>
      </c>
      <c r="L295" s="171">
        <f>129513.23*110.4%</f>
        <v>142982.60592</v>
      </c>
      <c r="M295" s="171">
        <f>L295*105.9%</f>
        <v>151418.57966928004</v>
      </c>
      <c r="N295" s="171">
        <f>M295*105.9%</f>
        <v>160352.27586976759</v>
      </c>
      <c r="Q295" s="62"/>
      <c r="R295" s="225"/>
    </row>
    <row r="296" spans="1:18" ht="35.450000000000003" customHeight="1" x14ac:dyDescent="0.25">
      <c r="A296" s="842"/>
      <c r="B296" s="646"/>
      <c r="C296" s="654"/>
      <c r="D296" s="573"/>
      <c r="E296" s="573"/>
      <c r="F296" s="661"/>
      <c r="G296" s="198">
        <v>2024</v>
      </c>
      <c r="H296" s="202">
        <f>J295</f>
        <v>91348.29</v>
      </c>
      <c r="I296" s="605" t="s">
        <v>96</v>
      </c>
      <c r="J296" s="601">
        <v>600</v>
      </c>
      <c r="K296" s="603">
        <v>777</v>
      </c>
      <c r="L296" s="601">
        <v>800</v>
      </c>
      <c r="M296" s="601">
        <v>810</v>
      </c>
      <c r="N296" s="601">
        <v>825</v>
      </c>
      <c r="Q296" s="225"/>
      <c r="R296" s="225"/>
    </row>
    <row r="297" spans="1:18" ht="24.6" customHeight="1" x14ac:dyDescent="0.25">
      <c r="A297" s="842"/>
      <c r="B297" s="646"/>
      <c r="C297" s="654"/>
      <c r="D297" s="573"/>
      <c r="E297" s="573"/>
      <c r="F297" s="661"/>
      <c r="G297" s="199">
        <v>2025</v>
      </c>
      <c r="H297" s="191">
        <f>K295</f>
        <v>129513.23</v>
      </c>
      <c r="I297" s="605"/>
      <c r="J297" s="601"/>
      <c r="K297" s="603"/>
      <c r="L297" s="601"/>
      <c r="M297" s="601"/>
      <c r="N297" s="601"/>
      <c r="Q297" s="225"/>
      <c r="R297" s="225"/>
    </row>
    <row r="298" spans="1:18" ht="22.15" customHeight="1" x14ac:dyDescent="0.25">
      <c r="A298" s="842"/>
      <c r="B298" s="646"/>
      <c r="C298" s="654"/>
      <c r="D298" s="573"/>
      <c r="E298" s="573"/>
      <c r="F298" s="661"/>
      <c r="G298" s="199">
        <v>2026</v>
      </c>
      <c r="H298" s="191">
        <f>L295</f>
        <v>142982.60592</v>
      </c>
      <c r="I298" s="592"/>
      <c r="J298" s="602"/>
      <c r="K298" s="604"/>
      <c r="L298" s="602"/>
      <c r="M298" s="602"/>
      <c r="N298" s="602"/>
      <c r="Q298" s="225"/>
      <c r="R298" s="225"/>
    </row>
    <row r="299" spans="1:18" ht="33.75" customHeight="1" x14ac:dyDescent="0.25">
      <c r="A299" s="842"/>
      <c r="B299" s="646"/>
      <c r="C299" s="654"/>
      <c r="D299" s="573"/>
      <c r="E299" s="573"/>
      <c r="F299" s="661"/>
      <c r="G299" s="199">
        <v>2027</v>
      </c>
      <c r="H299" s="191">
        <f>M295</f>
        <v>151418.57966928004</v>
      </c>
      <c r="I299" s="288" t="s">
        <v>21</v>
      </c>
      <c r="J299" s="196">
        <f>J295/J296</f>
        <v>152.24714999999998</v>
      </c>
      <c r="K299" s="195">
        <f>K295/K296</f>
        <v>166.6836936936937</v>
      </c>
      <c r="L299" s="3">
        <f>L295/L296</f>
        <v>178.72825739999999</v>
      </c>
      <c r="M299" s="3">
        <f>M295/M296</f>
        <v>186.93651811022227</v>
      </c>
      <c r="N299" s="3">
        <f>N295/N296</f>
        <v>194.36639499365768</v>
      </c>
      <c r="Q299" s="225"/>
      <c r="R299" s="225"/>
    </row>
    <row r="300" spans="1:18" ht="33.75" customHeight="1" thickBot="1" x14ac:dyDescent="0.3">
      <c r="A300" s="842"/>
      <c r="B300" s="646"/>
      <c r="C300" s="654"/>
      <c r="D300" s="651"/>
      <c r="E300" s="651"/>
      <c r="F300" s="663"/>
      <c r="G300" s="236">
        <v>2028</v>
      </c>
      <c r="H300" s="235">
        <f>N295</f>
        <v>160352.27586976759</v>
      </c>
      <c r="I300" s="288" t="s">
        <v>131</v>
      </c>
      <c r="J300" s="296">
        <v>1</v>
      </c>
      <c r="K300" s="291">
        <v>1</v>
      </c>
      <c r="L300" s="39">
        <v>1</v>
      </c>
      <c r="M300" s="39">
        <v>1</v>
      </c>
      <c r="N300" s="39">
        <v>1</v>
      </c>
      <c r="Q300" s="225"/>
      <c r="R300" s="225"/>
    </row>
    <row r="301" spans="1:18" ht="28.5" customHeight="1" thickBot="1" x14ac:dyDescent="0.3">
      <c r="A301" s="842"/>
      <c r="B301" s="646"/>
      <c r="C301" s="653" t="s">
        <v>97</v>
      </c>
      <c r="D301" s="650" t="s">
        <v>222</v>
      </c>
      <c r="E301" s="650" t="s">
        <v>59</v>
      </c>
      <c r="F301" s="708" t="s">
        <v>8</v>
      </c>
      <c r="G301" s="74" t="s">
        <v>9</v>
      </c>
      <c r="H301" s="197">
        <f>H302+H305+H303+H304+H306</f>
        <v>194715.7383203957</v>
      </c>
      <c r="I301" s="174" t="s">
        <v>11</v>
      </c>
      <c r="J301" s="14">
        <v>26610.42</v>
      </c>
      <c r="K301" s="176">
        <f>37263.57</f>
        <v>37263.57</v>
      </c>
      <c r="L301" s="171">
        <f>37263.57*110.4%</f>
        <v>41138.98128</v>
      </c>
      <c r="M301" s="171">
        <f>L301*105.9%</f>
        <v>43566.181175520003</v>
      </c>
      <c r="N301" s="171">
        <f>M301*105.9%</f>
        <v>46136.585864875691</v>
      </c>
      <c r="Q301" s="62"/>
      <c r="R301" s="225"/>
    </row>
    <row r="302" spans="1:18" ht="20.45" customHeight="1" x14ac:dyDescent="0.25">
      <c r="A302" s="842"/>
      <c r="B302" s="646"/>
      <c r="C302" s="654"/>
      <c r="D302" s="573"/>
      <c r="E302" s="573"/>
      <c r="F302" s="658"/>
      <c r="G302" s="189">
        <v>2024</v>
      </c>
      <c r="H302" s="202">
        <f>J301</f>
        <v>26610.42</v>
      </c>
      <c r="I302" s="569" t="s">
        <v>139</v>
      </c>
      <c r="J302" s="601">
        <v>1294</v>
      </c>
      <c r="K302" s="603">
        <v>1648</v>
      </c>
      <c r="L302" s="601">
        <v>1680</v>
      </c>
      <c r="M302" s="601">
        <v>1695</v>
      </c>
      <c r="N302" s="601">
        <v>1700</v>
      </c>
      <c r="Q302" s="225"/>
      <c r="R302" s="225"/>
    </row>
    <row r="303" spans="1:18" ht="24.6" customHeight="1" x14ac:dyDescent="0.25">
      <c r="A303" s="842"/>
      <c r="B303" s="646"/>
      <c r="C303" s="654"/>
      <c r="D303" s="573"/>
      <c r="E303" s="573"/>
      <c r="F303" s="658"/>
      <c r="G303" s="199">
        <v>2025</v>
      </c>
      <c r="H303" s="191">
        <f>K301</f>
        <v>37263.57</v>
      </c>
      <c r="I303" s="569"/>
      <c r="J303" s="601"/>
      <c r="K303" s="603"/>
      <c r="L303" s="601"/>
      <c r="M303" s="601"/>
      <c r="N303" s="601"/>
      <c r="Q303" s="225"/>
      <c r="R303" s="225"/>
    </row>
    <row r="304" spans="1:18" ht="33.75" customHeight="1" x14ac:dyDescent="0.25">
      <c r="A304" s="842"/>
      <c r="B304" s="646"/>
      <c r="C304" s="654"/>
      <c r="D304" s="573"/>
      <c r="E304" s="573"/>
      <c r="F304" s="658"/>
      <c r="G304" s="199">
        <v>2026</v>
      </c>
      <c r="H304" s="191">
        <f>L301</f>
        <v>41138.98128</v>
      </c>
      <c r="I304" s="590"/>
      <c r="J304" s="602"/>
      <c r="K304" s="604"/>
      <c r="L304" s="602"/>
      <c r="M304" s="602"/>
      <c r="N304" s="602"/>
      <c r="Q304" s="225"/>
      <c r="R304" s="225"/>
    </row>
    <row r="305" spans="1:18" ht="26.25" x14ac:dyDescent="0.25">
      <c r="A305" s="842"/>
      <c r="B305" s="646"/>
      <c r="C305" s="654"/>
      <c r="D305" s="573"/>
      <c r="E305" s="573"/>
      <c r="F305" s="658"/>
      <c r="G305" s="199">
        <v>2027</v>
      </c>
      <c r="H305" s="191">
        <f>M301</f>
        <v>43566.181175520003</v>
      </c>
      <c r="I305" s="288" t="s">
        <v>21</v>
      </c>
      <c r="J305" s="196">
        <f>J301/J302</f>
        <v>20.564466769706335</v>
      </c>
      <c r="K305" s="195">
        <f>K301/K302</f>
        <v>22.611389563106798</v>
      </c>
      <c r="L305" s="3">
        <f>L301/L302</f>
        <v>24.487488857142857</v>
      </c>
      <c r="M305" s="3">
        <f>M301/M302</f>
        <v>25.70276175546903</v>
      </c>
      <c r="N305" s="3">
        <f>N301/N302</f>
        <v>27.13916815580923</v>
      </c>
      <c r="Q305" s="225"/>
      <c r="R305" s="225"/>
    </row>
    <row r="306" spans="1:18" ht="38.25" customHeight="1" thickBot="1" x14ac:dyDescent="0.3">
      <c r="A306" s="842"/>
      <c r="B306" s="646"/>
      <c r="C306" s="654"/>
      <c r="D306" s="651"/>
      <c r="E306" s="651"/>
      <c r="F306" s="659"/>
      <c r="G306" s="236">
        <v>2028</v>
      </c>
      <c r="H306" s="235">
        <f>N301</f>
        <v>46136.585864875691</v>
      </c>
      <c r="I306" s="288" t="s">
        <v>131</v>
      </c>
      <c r="J306" s="296">
        <v>1</v>
      </c>
      <c r="K306" s="291">
        <v>1</v>
      </c>
      <c r="L306" s="39">
        <v>1</v>
      </c>
      <c r="M306" s="39">
        <v>1</v>
      </c>
      <c r="N306" s="39">
        <v>1</v>
      </c>
      <c r="Q306" s="225"/>
      <c r="R306" s="225"/>
    </row>
    <row r="307" spans="1:18" ht="27" thickBot="1" x14ac:dyDescent="0.3">
      <c r="A307" s="842"/>
      <c r="B307" s="646"/>
      <c r="C307" s="653" t="s">
        <v>120</v>
      </c>
      <c r="D307" s="650" t="s">
        <v>222</v>
      </c>
      <c r="E307" s="650" t="s">
        <v>59</v>
      </c>
      <c r="F307" s="708" t="s">
        <v>8</v>
      </c>
      <c r="G307" s="74" t="s">
        <v>9</v>
      </c>
      <c r="H307" s="197">
        <f>H308+H309+H310+H311+H312</f>
        <v>303268.87398279749</v>
      </c>
      <c r="I307" s="174" t="s">
        <v>11</v>
      </c>
      <c r="J307" s="14">
        <v>43639.34</v>
      </c>
      <c r="K307" s="176">
        <f>57551.56</f>
        <v>57551.56</v>
      </c>
      <c r="L307" s="171">
        <f>57551.56*110.4%</f>
        <v>63536.92224</v>
      </c>
      <c r="M307" s="171">
        <f>L307*105.9%</f>
        <v>67285.600652160007</v>
      </c>
      <c r="N307" s="171">
        <f>M307*105.9%</f>
        <v>71255.451090637463</v>
      </c>
      <c r="Q307" s="62"/>
      <c r="R307" s="225"/>
    </row>
    <row r="308" spans="1:18" ht="55.5" customHeight="1" x14ac:dyDescent="0.25">
      <c r="A308" s="842"/>
      <c r="B308" s="646"/>
      <c r="C308" s="654"/>
      <c r="D308" s="573"/>
      <c r="E308" s="573"/>
      <c r="F308" s="658"/>
      <c r="G308" s="189">
        <v>2024</v>
      </c>
      <c r="H308" s="202">
        <f>J307</f>
        <v>43639.34</v>
      </c>
      <c r="I308" s="295" t="s">
        <v>121</v>
      </c>
      <c r="J308" s="165">
        <v>1671</v>
      </c>
      <c r="K308" s="275">
        <v>2032</v>
      </c>
      <c r="L308" s="162">
        <v>2080</v>
      </c>
      <c r="M308" s="162">
        <v>2100</v>
      </c>
      <c r="N308" s="162">
        <v>2110</v>
      </c>
      <c r="Q308" s="225"/>
      <c r="R308" s="225"/>
    </row>
    <row r="309" spans="1:18" ht="41.25" customHeight="1" x14ac:dyDescent="0.25">
      <c r="A309" s="842"/>
      <c r="B309" s="646"/>
      <c r="C309" s="654"/>
      <c r="D309" s="573"/>
      <c r="E309" s="573"/>
      <c r="F309" s="658"/>
      <c r="G309" s="199">
        <v>2025</v>
      </c>
      <c r="H309" s="191">
        <f>K307</f>
        <v>57551.56</v>
      </c>
      <c r="I309" s="288" t="s">
        <v>228</v>
      </c>
      <c r="J309" s="196">
        <f>J307/J308</f>
        <v>26.115703171753438</v>
      </c>
      <c r="K309" s="195">
        <f>K307/K308</f>
        <v>28.32261811023622</v>
      </c>
      <c r="L309" s="3">
        <f>L307/L308</f>
        <v>30.54659723076923</v>
      </c>
      <c r="M309" s="3">
        <f>M307/M308</f>
        <v>32.040762215314288</v>
      </c>
      <c r="N309" s="3">
        <f>N307/N308</f>
        <v>33.770355967126761</v>
      </c>
      <c r="Q309" s="225"/>
      <c r="R309" s="225"/>
    </row>
    <row r="310" spans="1:18" ht="22.15" customHeight="1" x14ac:dyDescent="0.25">
      <c r="A310" s="842"/>
      <c r="B310" s="646"/>
      <c r="C310" s="654"/>
      <c r="D310" s="573"/>
      <c r="E310" s="573"/>
      <c r="F310" s="707"/>
      <c r="G310" s="199">
        <v>2026</v>
      </c>
      <c r="H310" s="192">
        <f>L307</f>
        <v>63536.92224</v>
      </c>
      <c r="I310" s="568" t="s">
        <v>131</v>
      </c>
      <c r="J310" s="581">
        <v>1</v>
      </c>
      <c r="K310" s="584">
        <v>1</v>
      </c>
      <c r="L310" s="581">
        <v>1</v>
      </c>
      <c r="M310" s="581">
        <v>1</v>
      </c>
      <c r="N310" s="581">
        <v>1</v>
      </c>
      <c r="Q310" s="225"/>
      <c r="R310" s="225"/>
    </row>
    <row r="311" spans="1:18" ht="24.6" customHeight="1" x14ac:dyDescent="0.25">
      <c r="A311" s="842"/>
      <c r="B311" s="646"/>
      <c r="C311" s="654"/>
      <c r="D311" s="573"/>
      <c r="E311" s="573"/>
      <c r="F311" s="707"/>
      <c r="G311" s="199">
        <v>2027</v>
      </c>
      <c r="H311" s="192">
        <f>M307</f>
        <v>67285.600652160007</v>
      </c>
      <c r="I311" s="569"/>
      <c r="J311" s="582"/>
      <c r="K311" s="585"/>
      <c r="L311" s="582"/>
      <c r="M311" s="582"/>
      <c r="N311" s="582"/>
      <c r="Q311" s="225"/>
      <c r="R311" s="225"/>
    </row>
    <row r="312" spans="1:18" ht="24.6" customHeight="1" thickBot="1" x14ac:dyDescent="0.3">
      <c r="A312" s="842"/>
      <c r="B312" s="646"/>
      <c r="C312" s="654"/>
      <c r="D312" s="651"/>
      <c r="E312" s="651"/>
      <c r="F312" s="659"/>
      <c r="G312" s="236">
        <v>2028</v>
      </c>
      <c r="H312" s="235">
        <f>N307</f>
        <v>71255.451090637463</v>
      </c>
      <c r="I312" s="570"/>
      <c r="J312" s="583"/>
      <c r="K312" s="589"/>
      <c r="L312" s="583"/>
      <c r="M312" s="583"/>
      <c r="N312" s="583"/>
      <c r="Q312" s="225"/>
      <c r="R312" s="225"/>
    </row>
    <row r="313" spans="1:18" ht="27" thickBot="1" x14ac:dyDescent="0.3">
      <c r="A313" s="842"/>
      <c r="B313" s="646"/>
      <c r="C313" s="655" t="s">
        <v>98</v>
      </c>
      <c r="D313" s="650" t="s">
        <v>222</v>
      </c>
      <c r="E313" s="650" t="s">
        <v>59</v>
      </c>
      <c r="F313" s="660" t="s">
        <v>8</v>
      </c>
      <c r="G313" s="74" t="s">
        <v>9</v>
      </c>
      <c r="H313" s="197">
        <f>H314+H317+H315+H316+H318</f>
        <v>128327.81424968656</v>
      </c>
      <c r="I313" s="174" t="s">
        <v>11</v>
      </c>
      <c r="J313" s="14">
        <v>17144.919999999998</v>
      </c>
      <c r="K313" s="176">
        <f>24645.69</f>
        <v>24645.69</v>
      </c>
      <c r="L313" s="171">
        <f>24645.69*110.4%</f>
        <v>27208.841759999999</v>
      </c>
      <c r="M313" s="171">
        <f>L313*105.9%</f>
        <v>28814.163423840004</v>
      </c>
      <c r="N313" s="171">
        <f>M313*105.9%</f>
        <v>30514.199065846569</v>
      </c>
      <c r="Q313" s="62"/>
      <c r="R313" s="225"/>
    </row>
    <row r="314" spans="1:18" ht="24.6" customHeight="1" x14ac:dyDescent="0.25">
      <c r="A314" s="842"/>
      <c r="B314" s="646"/>
      <c r="C314" s="656"/>
      <c r="D314" s="573"/>
      <c r="E314" s="573"/>
      <c r="F314" s="661"/>
      <c r="G314" s="198">
        <v>2024</v>
      </c>
      <c r="H314" s="202">
        <f>J313</f>
        <v>17144.919999999998</v>
      </c>
      <c r="I314" s="569" t="s">
        <v>135</v>
      </c>
      <c r="J314" s="601">
        <v>500</v>
      </c>
      <c r="K314" s="603">
        <v>654</v>
      </c>
      <c r="L314" s="601">
        <v>660</v>
      </c>
      <c r="M314" s="601">
        <v>670</v>
      </c>
      <c r="N314" s="601">
        <v>680</v>
      </c>
      <c r="Q314" s="225"/>
      <c r="R314" s="225"/>
    </row>
    <row r="315" spans="1:18" ht="22.15" customHeight="1" x14ac:dyDescent="0.25">
      <c r="A315" s="842"/>
      <c r="B315" s="646"/>
      <c r="C315" s="656"/>
      <c r="D315" s="573"/>
      <c r="E315" s="573"/>
      <c r="F315" s="661"/>
      <c r="G315" s="199">
        <v>2025</v>
      </c>
      <c r="H315" s="191">
        <f>K313</f>
        <v>24645.69</v>
      </c>
      <c r="I315" s="569"/>
      <c r="J315" s="601"/>
      <c r="K315" s="603"/>
      <c r="L315" s="601"/>
      <c r="M315" s="601"/>
      <c r="N315" s="601"/>
      <c r="Q315" s="225"/>
      <c r="R315" s="225"/>
    </row>
    <row r="316" spans="1:18" ht="24.6" customHeight="1" x14ac:dyDescent="0.25">
      <c r="A316" s="842"/>
      <c r="B316" s="646"/>
      <c r="C316" s="656"/>
      <c r="D316" s="573"/>
      <c r="E316" s="573"/>
      <c r="F316" s="661"/>
      <c r="G316" s="199">
        <v>2026</v>
      </c>
      <c r="H316" s="191">
        <f>L313</f>
        <v>27208.841759999999</v>
      </c>
      <c r="I316" s="590"/>
      <c r="J316" s="602"/>
      <c r="K316" s="604"/>
      <c r="L316" s="602"/>
      <c r="M316" s="602"/>
      <c r="N316" s="602"/>
      <c r="Q316" s="225"/>
      <c r="R316" s="225"/>
    </row>
    <row r="317" spans="1:18" ht="26.25" x14ac:dyDescent="0.25">
      <c r="A317" s="842"/>
      <c r="B317" s="646"/>
      <c r="C317" s="656"/>
      <c r="D317" s="573"/>
      <c r="E317" s="573"/>
      <c r="F317" s="661"/>
      <c r="G317" s="199">
        <v>2027</v>
      </c>
      <c r="H317" s="191">
        <f>M313</f>
        <v>28814.163423840004</v>
      </c>
      <c r="I317" s="288" t="s">
        <v>21</v>
      </c>
      <c r="J317" s="196">
        <f>J313/J314</f>
        <v>34.289839999999998</v>
      </c>
      <c r="K317" s="195">
        <f>K313/K314</f>
        <v>37.684541284403664</v>
      </c>
      <c r="L317" s="3">
        <f>L313/L314</f>
        <v>41.225517818181814</v>
      </c>
      <c r="M317" s="3">
        <f>M313/M314</f>
        <v>43.006214065432843</v>
      </c>
      <c r="N317" s="3">
        <f>N313/N314</f>
        <v>44.873822155656718</v>
      </c>
      <c r="Q317" s="225"/>
      <c r="R317" s="225"/>
    </row>
    <row r="318" spans="1:18" ht="43.5" customHeight="1" thickBot="1" x14ac:dyDescent="0.3">
      <c r="A318" s="842"/>
      <c r="B318" s="646"/>
      <c r="C318" s="664"/>
      <c r="D318" s="651"/>
      <c r="E318" s="651"/>
      <c r="F318" s="663"/>
      <c r="G318" s="236">
        <v>2028</v>
      </c>
      <c r="H318" s="235">
        <f>N313</f>
        <v>30514.199065846569</v>
      </c>
      <c r="I318" s="288" t="s">
        <v>131</v>
      </c>
      <c r="J318" s="296">
        <v>1</v>
      </c>
      <c r="K318" s="291">
        <v>1</v>
      </c>
      <c r="L318" s="39">
        <v>1</v>
      </c>
      <c r="M318" s="39">
        <v>1</v>
      </c>
      <c r="N318" s="39">
        <v>1</v>
      </c>
      <c r="Q318" s="225"/>
      <c r="R318" s="225"/>
    </row>
    <row r="319" spans="1:18" ht="32.25" customHeight="1" thickBot="1" x14ac:dyDescent="0.3">
      <c r="A319" s="842"/>
      <c r="B319" s="646"/>
      <c r="C319" s="820" t="s">
        <v>43</v>
      </c>
      <c r="D319" s="650" t="s">
        <v>222</v>
      </c>
      <c r="E319" s="650" t="s">
        <v>59</v>
      </c>
      <c r="F319" s="650" t="s">
        <v>8</v>
      </c>
      <c r="G319" s="74" t="s">
        <v>9</v>
      </c>
      <c r="H319" s="197">
        <f>H320+H321+H322+H323+H324</f>
        <v>39782.24705270768</v>
      </c>
      <c r="I319" s="174" t="s">
        <v>11</v>
      </c>
      <c r="J319" s="14">
        <v>6673.86</v>
      </c>
      <c r="K319" s="176">
        <f>7339.07</f>
        <v>7339.07</v>
      </c>
      <c r="L319" s="171">
        <f>7339.07*110.4%</f>
        <v>8102.3332800000007</v>
      </c>
      <c r="M319" s="171">
        <f>L319*105.9%</f>
        <v>8580.3709435200017</v>
      </c>
      <c r="N319" s="171">
        <f>M319*105.9%</f>
        <v>9086.612829187683</v>
      </c>
      <c r="Q319" s="62"/>
      <c r="R319" s="225"/>
    </row>
    <row r="320" spans="1:18" ht="64.5" customHeight="1" x14ac:dyDescent="0.25">
      <c r="A320" s="842"/>
      <c r="B320" s="646"/>
      <c r="C320" s="821"/>
      <c r="D320" s="573"/>
      <c r="E320" s="573"/>
      <c r="F320" s="573"/>
      <c r="G320" s="189">
        <v>2024</v>
      </c>
      <c r="H320" s="190">
        <f>J319</f>
        <v>6673.86</v>
      </c>
      <c r="I320" s="295" t="s">
        <v>51</v>
      </c>
      <c r="J320" s="165">
        <v>811</v>
      </c>
      <c r="K320" s="275">
        <v>565</v>
      </c>
      <c r="L320" s="162">
        <v>590</v>
      </c>
      <c r="M320" s="162">
        <v>600</v>
      </c>
      <c r="N320" s="162">
        <v>610</v>
      </c>
      <c r="Q320" s="225"/>
      <c r="R320" s="225"/>
    </row>
    <row r="321" spans="1:18" ht="19.5" x14ac:dyDescent="0.25">
      <c r="A321" s="842"/>
      <c r="B321" s="646"/>
      <c r="C321" s="821"/>
      <c r="D321" s="573"/>
      <c r="E321" s="573"/>
      <c r="F321" s="573"/>
      <c r="G321" s="199">
        <v>2025</v>
      </c>
      <c r="H321" s="191">
        <f>K319</f>
        <v>7339.07</v>
      </c>
      <c r="I321" s="288" t="s">
        <v>15</v>
      </c>
      <c r="J321" s="186">
        <v>286</v>
      </c>
      <c r="K321" s="187">
        <v>278</v>
      </c>
      <c r="L321" s="2">
        <v>278</v>
      </c>
      <c r="M321" s="2">
        <v>278</v>
      </c>
      <c r="N321" s="2">
        <v>278</v>
      </c>
      <c r="Q321" s="225"/>
      <c r="R321" s="225"/>
    </row>
    <row r="322" spans="1:18" ht="19.5" x14ac:dyDescent="0.25">
      <c r="A322" s="842"/>
      <c r="B322" s="646"/>
      <c r="C322" s="821"/>
      <c r="D322" s="573"/>
      <c r="E322" s="573"/>
      <c r="F322" s="573"/>
      <c r="G322" s="199">
        <v>2026</v>
      </c>
      <c r="H322" s="203">
        <f>L319</f>
        <v>8102.3332800000007</v>
      </c>
      <c r="I322" s="288" t="s">
        <v>16</v>
      </c>
      <c r="J322" s="186">
        <f>J320-J321</f>
        <v>525</v>
      </c>
      <c r="K322" s="187">
        <f>K320-K321</f>
        <v>287</v>
      </c>
      <c r="L322" s="2">
        <f>L320-L321</f>
        <v>312</v>
      </c>
      <c r="M322" s="2">
        <f>M320-M321</f>
        <v>322</v>
      </c>
      <c r="N322" s="2">
        <f>N320-N321</f>
        <v>332</v>
      </c>
      <c r="Q322" s="225"/>
      <c r="R322" s="225"/>
    </row>
    <row r="323" spans="1:18" ht="26.25" x14ac:dyDescent="0.25">
      <c r="A323" s="842"/>
      <c r="B323" s="646"/>
      <c r="C323" s="821"/>
      <c r="D323" s="573"/>
      <c r="E323" s="573"/>
      <c r="F323" s="573"/>
      <c r="G323" s="199">
        <v>2027</v>
      </c>
      <c r="H323" s="191">
        <f>M319</f>
        <v>8580.3709435200017</v>
      </c>
      <c r="I323" s="288" t="s">
        <v>21</v>
      </c>
      <c r="J323" s="196">
        <f>J319/J320</f>
        <v>8.2291738594327981</v>
      </c>
      <c r="K323" s="195">
        <f>K319/K320</f>
        <v>12.98950442477876</v>
      </c>
      <c r="L323" s="3">
        <f>L319/L320</f>
        <v>13.732768271186442</v>
      </c>
      <c r="M323" s="3">
        <f>M319/M320</f>
        <v>14.300618239200002</v>
      </c>
      <c r="N323" s="3">
        <f>N319/N320</f>
        <v>14.89608660522571</v>
      </c>
      <c r="Q323" s="225"/>
      <c r="R323" s="225"/>
    </row>
    <row r="324" spans="1:18" ht="38.25" customHeight="1" thickBot="1" x14ac:dyDescent="0.3">
      <c r="A324" s="842"/>
      <c r="B324" s="646"/>
      <c r="C324" s="821"/>
      <c r="D324" s="651"/>
      <c r="E324" s="651"/>
      <c r="F324" s="651"/>
      <c r="G324" s="236">
        <v>2028</v>
      </c>
      <c r="H324" s="204">
        <f>N319</f>
        <v>9086.612829187683</v>
      </c>
      <c r="I324" s="288" t="s">
        <v>131</v>
      </c>
      <c r="J324" s="296">
        <v>1</v>
      </c>
      <c r="K324" s="291">
        <v>1</v>
      </c>
      <c r="L324" s="39">
        <v>1</v>
      </c>
      <c r="M324" s="39">
        <v>1</v>
      </c>
      <c r="N324" s="39">
        <v>1</v>
      </c>
      <c r="Q324" s="225"/>
      <c r="R324" s="225"/>
    </row>
    <row r="325" spans="1:18" ht="27" thickBot="1" x14ac:dyDescent="0.3">
      <c r="A325" s="842"/>
      <c r="B325" s="646"/>
      <c r="C325" s="820" t="s">
        <v>54</v>
      </c>
      <c r="D325" s="650" t="s">
        <v>222</v>
      </c>
      <c r="E325" s="650" t="s">
        <v>59</v>
      </c>
      <c r="F325" s="665" t="s">
        <v>8</v>
      </c>
      <c r="G325" s="74" t="s">
        <v>9</v>
      </c>
      <c r="H325" s="197">
        <f>H326+H327+H328+H329+H330</f>
        <v>28438.605565166406</v>
      </c>
      <c r="I325" s="174" t="s">
        <v>11</v>
      </c>
      <c r="J325" s="176">
        <v>8877.3700000000008</v>
      </c>
      <c r="K325" s="176">
        <f>4336.1</f>
        <v>4336.1000000000004</v>
      </c>
      <c r="L325" s="171">
        <f>4336.1*110.4%</f>
        <v>4787.0544000000009</v>
      </c>
      <c r="M325" s="171">
        <f>L325*105.9%</f>
        <v>5069.4906096000013</v>
      </c>
      <c r="N325" s="171">
        <f>M325*105.9%</f>
        <v>5368.5905555664021</v>
      </c>
      <c r="Q325" s="62"/>
      <c r="R325" s="225"/>
    </row>
    <row r="326" spans="1:18" ht="51.75" x14ac:dyDescent="0.25">
      <c r="A326" s="842"/>
      <c r="B326" s="646"/>
      <c r="C326" s="821"/>
      <c r="D326" s="573"/>
      <c r="E326" s="573"/>
      <c r="F326" s="666"/>
      <c r="G326" s="189">
        <v>2024</v>
      </c>
      <c r="H326" s="202">
        <f>J325</f>
        <v>8877.3700000000008</v>
      </c>
      <c r="I326" s="295" t="s">
        <v>99</v>
      </c>
      <c r="J326" s="275">
        <v>9</v>
      </c>
      <c r="K326" s="275">
        <v>4</v>
      </c>
      <c r="L326" s="162">
        <v>5</v>
      </c>
      <c r="M326" s="162">
        <v>6</v>
      </c>
      <c r="N326" s="162">
        <v>7</v>
      </c>
      <c r="Q326" s="225"/>
      <c r="R326" s="225"/>
    </row>
    <row r="327" spans="1:18" ht="19.5" x14ac:dyDescent="0.25">
      <c r="A327" s="842"/>
      <c r="B327" s="646"/>
      <c r="C327" s="821"/>
      <c r="D327" s="573"/>
      <c r="E327" s="573"/>
      <c r="F327" s="666"/>
      <c r="G327" s="199">
        <v>2025</v>
      </c>
      <c r="H327" s="191">
        <f>K325</f>
        <v>4336.1000000000004</v>
      </c>
      <c r="I327" s="288" t="s">
        <v>15</v>
      </c>
      <c r="J327" s="187">
        <v>4</v>
      </c>
      <c r="K327" s="187">
        <v>2</v>
      </c>
      <c r="L327" s="2">
        <v>2</v>
      </c>
      <c r="M327" s="2">
        <v>2</v>
      </c>
      <c r="N327" s="2">
        <v>2</v>
      </c>
      <c r="Q327" s="225"/>
      <c r="R327" s="225"/>
    </row>
    <row r="328" spans="1:18" ht="21.6" customHeight="1" thickBot="1" x14ac:dyDescent="0.3">
      <c r="A328" s="842"/>
      <c r="B328" s="646"/>
      <c r="C328" s="821"/>
      <c r="D328" s="573"/>
      <c r="E328" s="573"/>
      <c r="F328" s="666"/>
      <c r="G328" s="205">
        <v>2026</v>
      </c>
      <c r="H328" s="235">
        <f>L325</f>
        <v>4787.0544000000009</v>
      </c>
      <c r="I328" s="288" t="s">
        <v>16</v>
      </c>
      <c r="J328" s="187">
        <f>J326-J327</f>
        <v>5</v>
      </c>
      <c r="K328" s="187">
        <f>K326-K327</f>
        <v>2</v>
      </c>
      <c r="L328" s="2">
        <f>L326-L327</f>
        <v>3</v>
      </c>
      <c r="M328" s="2">
        <f>M326-M327</f>
        <v>4</v>
      </c>
      <c r="N328" s="2">
        <f>N326-N327</f>
        <v>5</v>
      </c>
      <c r="Q328" s="225"/>
      <c r="R328" s="225"/>
    </row>
    <row r="329" spans="1:18" ht="26.25" x14ac:dyDescent="0.25">
      <c r="A329" s="842"/>
      <c r="B329" s="646"/>
      <c r="C329" s="821"/>
      <c r="D329" s="573"/>
      <c r="E329" s="573"/>
      <c r="F329" s="666"/>
      <c r="G329" s="198">
        <v>2027</v>
      </c>
      <c r="H329" s="202">
        <f>M325</f>
        <v>5069.4906096000013</v>
      </c>
      <c r="I329" s="288" t="s">
        <v>21</v>
      </c>
      <c r="J329" s="195">
        <f>J325/J326</f>
        <v>986.37444444444452</v>
      </c>
      <c r="K329" s="195">
        <f>K325/K326</f>
        <v>1084.0250000000001</v>
      </c>
      <c r="L329" s="3">
        <f>L325/L326</f>
        <v>957.41088000000013</v>
      </c>
      <c r="M329" s="3">
        <f>M325/M326</f>
        <v>844.91510160000018</v>
      </c>
      <c r="N329" s="3">
        <f>N325/N326</f>
        <v>766.9415079380575</v>
      </c>
      <c r="Q329" s="225"/>
      <c r="R329" s="225"/>
    </row>
    <row r="330" spans="1:18" ht="33.75" customHeight="1" thickBot="1" x14ac:dyDescent="0.3">
      <c r="A330" s="842"/>
      <c r="B330" s="646"/>
      <c r="C330" s="821"/>
      <c r="D330" s="651"/>
      <c r="E330" s="651"/>
      <c r="F330" s="667"/>
      <c r="G330" s="236">
        <v>2028</v>
      </c>
      <c r="H330" s="204">
        <f>N325</f>
        <v>5368.5905555664021</v>
      </c>
      <c r="I330" s="288" t="s">
        <v>131</v>
      </c>
      <c r="J330" s="291">
        <v>1</v>
      </c>
      <c r="K330" s="291">
        <v>1</v>
      </c>
      <c r="L330" s="39">
        <v>1</v>
      </c>
      <c r="M330" s="39">
        <v>1</v>
      </c>
      <c r="N330" s="39">
        <v>1</v>
      </c>
      <c r="Q330" s="225"/>
      <c r="R330" s="225"/>
    </row>
    <row r="331" spans="1:18" ht="27" thickBot="1" x14ac:dyDescent="0.3">
      <c r="A331" s="842"/>
      <c r="B331" s="646"/>
      <c r="C331" s="788" t="s">
        <v>100</v>
      </c>
      <c r="D331" s="650" t="s">
        <v>222</v>
      </c>
      <c r="E331" s="706" t="s">
        <v>59</v>
      </c>
      <c r="F331" s="657" t="s">
        <v>8</v>
      </c>
      <c r="G331" s="74" t="s">
        <v>9</v>
      </c>
      <c r="H331" s="197">
        <f>H332+H333+H334+H335+H336</f>
        <v>31526.216601989763</v>
      </c>
      <c r="I331" s="174" t="s">
        <v>11</v>
      </c>
      <c r="J331" s="176">
        <v>8829.0300000000007</v>
      </c>
      <c r="K331" s="176">
        <f>5031.24</f>
        <v>5031.24</v>
      </c>
      <c r="L331" s="171">
        <f>5031.24*110.4%</f>
        <v>5554.4889600000006</v>
      </c>
      <c r="M331" s="171">
        <f>L331*105.9%</f>
        <v>5882.2038086400016</v>
      </c>
      <c r="N331" s="171">
        <f>M331*105.9%</f>
        <v>6229.2538333497623</v>
      </c>
      <c r="Q331" s="62"/>
      <c r="R331" s="225"/>
    </row>
    <row r="332" spans="1:18" ht="57.75" customHeight="1" x14ac:dyDescent="0.25">
      <c r="A332" s="842"/>
      <c r="B332" s="646"/>
      <c r="C332" s="789"/>
      <c r="D332" s="573"/>
      <c r="E332" s="574"/>
      <c r="F332" s="658"/>
      <c r="G332" s="189">
        <v>2024</v>
      </c>
      <c r="H332" s="202">
        <f>J331</f>
        <v>8829.0300000000007</v>
      </c>
      <c r="I332" s="295" t="s">
        <v>101</v>
      </c>
      <c r="J332" s="275">
        <v>27</v>
      </c>
      <c r="K332" s="275">
        <v>14</v>
      </c>
      <c r="L332" s="162">
        <v>14</v>
      </c>
      <c r="M332" s="162">
        <v>14</v>
      </c>
      <c r="N332" s="162">
        <v>14</v>
      </c>
      <c r="Q332" s="225"/>
      <c r="R332" s="225"/>
    </row>
    <row r="333" spans="1:18" ht="19.5" x14ac:dyDescent="0.25">
      <c r="A333" s="842"/>
      <c r="B333" s="646"/>
      <c r="C333" s="789"/>
      <c r="D333" s="573"/>
      <c r="E333" s="574"/>
      <c r="F333" s="658"/>
      <c r="G333" s="199">
        <v>2025</v>
      </c>
      <c r="H333" s="191">
        <f>K331</f>
        <v>5031.24</v>
      </c>
      <c r="I333" s="288" t="s">
        <v>15</v>
      </c>
      <c r="J333" s="187">
        <v>14</v>
      </c>
      <c r="K333" s="187">
        <v>6</v>
      </c>
      <c r="L333" s="2">
        <v>6</v>
      </c>
      <c r="M333" s="2">
        <v>6</v>
      </c>
      <c r="N333" s="2">
        <v>6</v>
      </c>
      <c r="Q333" s="225"/>
      <c r="R333" s="225"/>
    </row>
    <row r="334" spans="1:18" ht="19.5" x14ac:dyDescent="0.25">
      <c r="A334" s="842"/>
      <c r="B334" s="646"/>
      <c r="C334" s="789"/>
      <c r="D334" s="573"/>
      <c r="E334" s="574"/>
      <c r="F334" s="658"/>
      <c r="G334" s="199">
        <v>2026</v>
      </c>
      <c r="H334" s="203">
        <f>L331</f>
        <v>5554.4889600000006</v>
      </c>
      <c r="I334" s="288" t="s">
        <v>16</v>
      </c>
      <c r="J334" s="187">
        <f>J332-J333</f>
        <v>13</v>
      </c>
      <c r="K334" s="187">
        <f>K332-K333</f>
        <v>8</v>
      </c>
      <c r="L334" s="2">
        <f>L332-L333</f>
        <v>8</v>
      </c>
      <c r="M334" s="2">
        <f>M332-M333</f>
        <v>8</v>
      </c>
      <c r="N334" s="2">
        <f>N332-N333</f>
        <v>8</v>
      </c>
      <c r="Q334" s="225"/>
      <c r="R334" s="225"/>
    </row>
    <row r="335" spans="1:18" ht="26.25" x14ac:dyDescent="0.25">
      <c r="A335" s="842"/>
      <c r="B335" s="646"/>
      <c r="C335" s="789"/>
      <c r="D335" s="573"/>
      <c r="E335" s="574"/>
      <c r="F335" s="658"/>
      <c r="G335" s="199">
        <v>2027</v>
      </c>
      <c r="H335" s="191">
        <f>M331</f>
        <v>5882.2038086400016</v>
      </c>
      <c r="I335" s="288" t="s">
        <v>21</v>
      </c>
      <c r="J335" s="195">
        <f>J331/J332</f>
        <v>327.00111111111113</v>
      </c>
      <c r="K335" s="195">
        <f>K331/K332</f>
        <v>359.37428571428569</v>
      </c>
      <c r="L335" s="3">
        <f>L331/L332</f>
        <v>396.74921142857147</v>
      </c>
      <c r="M335" s="3">
        <f>M331/M332</f>
        <v>420.15741490285728</v>
      </c>
      <c r="N335" s="3">
        <f>N331/N332</f>
        <v>444.94670238212586</v>
      </c>
      <c r="Q335" s="225"/>
      <c r="R335" s="225"/>
    </row>
    <row r="336" spans="1:18" ht="42" customHeight="1" thickBot="1" x14ac:dyDescent="0.3">
      <c r="A336" s="842"/>
      <c r="B336" s="646"/>
      <c r="C336" s="822"/>
      <c r="D336" s="651"/>
      <c r="E336" s="574"/>
      <c r="F336" s="659"/>
      <c r="G336" s="236">
        <v>2028</v>
      </c>
      <c r="H336" s="204">
        <f>N331</f>
        <v>6229.2538333497623</v>
      </c>
      <c r="I336" s="288" t="s">
        <v>131</v>
      </c>
      <c r="J336" s="291">
        <v>1</v>
      </c>
      <c r="K336" s="291">
        <v>1</v>
      </c>
      <c r="L336" s="39">
        <v>1</v>
      </c>
      <c r="M336" s="39">
        <v>1</v>
      </c>
      <c r="N336" s="39">
        <v>1</v>
      </c>
      <c r="Q336" s="225"/>
      <c r="R336" s="225"/>
    </row>
    <row r="337" spans="1:18" ht="27" thickBot="1" x14ac:dyDescent="0.3">
      <c r="A337" s="842"/>
      <c r="B337" s="646"/>
      <c r="C337" s="653" t="s">
        <v>102</v>
      </c>
      <c r="D337" s="650" t="s">
        <v>222</v>
      </c>
      <c r="E337" s="709" t="s">
        <v>59</v>
      </c>
      <c r="F337" s="657" t="s">
        <v>8</v>
      </c>
      <c r="G337" s="74" t="s">
        <v>9</v>
      </c>
      <c r="H337" s="197">
        <f>H338+H339+H340+H341+H342</f>
        <v>181997.86600242081</v>
      </c>
      <c r="I337" s="174" t="s">
        <v>11</v>
      </c>
      <c r="J337" s="176">
        <v>30547.5</v>
      </c>
      <c r="K337" s="176">
        <f>33571.7</f>
        <v>33571.699999999997</v>
      </c>
      <c r="L337" s="171">
        <f>33571.7*110.4%</f>
        <v>37063.156799999997</v>
      </c>
      <c r="M337" s="171">
        <f>L337*105.9%</f>
        <v>39249.883051200006</v>
      </c>
      <c r="N337" s="171">
        <f>M337*105.9%</f>
        <v>41565.626151220815</v>
      </c>
      <c r="Q337" s="62"/>
      <c r="R337" s="225"/>
    </row>
    <row r="338" spans="1:18" ht="33" customHeight="1" x14ac:dyDescent="0.25">
      <c r="A338" s="842"/>
      <c r="B338" s="646"/>
      <c r="C338" s="654"/>
      <c r="D338" s="573"/>
      <c r="E338" s="710"/>
      <c r="F338" s="658"/>
      <c r="G338" s="189">
        <v>2024</v>
      </c>
      <c r="H338" s="202">
        <f>J337</f>
        <v>30547.5</v>
      </c>
      <c r="I338" s="605" t="s">
        <v>140</v>
      </c>
      <c r="J338" s="603">
        <v>1576</v>
      </c>
      <c r="K338" s="603">
        <v>1576</v>
      </c>
      <c r="L338" s="601">
        <v>1570</v>
      </c>
      <c r="M338" s="601">
        <v>1565</v>
      </c>
      <c r="N338" s="601">
        <v>1560</v>
      </c>
      <c r="Q338" s="225"/>
      <c r="R338" s="225"/>
    </row>
    <row r="339" spans="1:18" ht="21.6" customHeight="1" x14ac:dyDescent="0.25">
      <c r="A339" s="842"/>
      <c r="B339" s="646"/>
      <c r="C339" s="654"/>
      <c r="D339" s="573"/>
      <c r="E339" s="710"/>
      <c r="F339" s="658"/>
      <c r="G339" s="199">
        <v>2025</v>
      </c>
      <c r="H339" s="191">
        <f>K337</f>
        <v>33571.699999999997</v>
      </c>
      <c r="I339" s="605"/>
      <c r="J339" s="603"/>
      <c r="K339" s="603"/>
      <c r="L339" s="601"/>
      <c r="M339" s="601"/>
      <c r="N339" s="601"/>
      <c r="Q339" s="225"/>
      <c r="R339" s="225"/>
    </row>
    <row r="340" spans="1:18" ht="23.45" customHeight="1" x14ac:dyDescent="0.25">
      <c r="A340" s="842"/>
      <c r="B340" s="646"/>
      <c r="C340" s="654"/>
      <c r="D340" s="573"/>
      <c r="E340" s="710"/>
      <c r="F340" s="658"/>
      <c r="G340" s="199">
        <v>2026</v>
      </c>
      <c r="H340" s="191">
        <f>L337</f>
        <v>37063.156799999997</v>
      </c>
      <c r="I340" s="592"/>
      <c r="J340" s="604"/>
      <c r="K340" s="604"/>
      <c r="L340" s="602"/>
      <c r="M340" s="602"/>
      <c r="N340" s="602"/>
      <c r="Q340" s="225"/>
      <c r="R340" s="225"/>
    </row>
    <row r="341" spans="1:18" ht="26.25" x14ac:dyDescent="0.25">
      <c r="A341" s="842"/>
      <c r="B341" s="646"/>
      <c r="C341" s="654"/>
      <c r="D341" s="573"/>
      <c r="E341" s="710"/>
      <c r="F341" s="658"/>
      <c r="G341" s="199">
        <v>2027</v>
      </c>
      <c r="H341" s="191">
        <f>M337</f>
        <v>39249.883051200006</v>
      </c>
      <c r="I341" s="288" t="s">
        <v>21</v>
      </c>
      <c r="J341" s="195">
        <f>J337/J338</f>
        <v>19.382931472081218</v>
      </c>
      <c r="K341" s="195">
        <f>K337/K338</f>
        <v>21.301840101522842</v>
      </c>
      <c r="L341" s="3">
        <f>L337/L338</f>
        <v>23.607106242038213</v>
      </c>
      <c r="M341" s="3">
        <f>M337/M338</f>
        <v>25.079797476805116</v>
      </c>
      <c r="N341" s="3">
        <f>N337/N338</f>
        <v>26.64463214821847</v>
      </c>
      <c r="Q341" s="225"/>
      <c r="R341" s="225"/>
    </row>
    <row r="342" spans="1:18" ht="27" thickBot="1" x14ac:dyDescent="0.3">
      <c r="A342" s="842"/>
      <c r="B342" s="646"/>
      <c r="C342" s="654"/>
      <c r="D342" s="651"/>
      <c r="E342" s="710"/>
      <c r="F342" s="659"/>
      <c r="G342" s="236">
        <v>2028</v>
      </c>
      <c r="H342" s="235">
        <f>N337</f>
        <v>41565.626151220815</v>
      </c>
      <c r="I342" s="288" t="s">
        <v>131</v>
      </c>
      <c r="J342" s="291">
        <v>1</v>
      </c>
      <c r="K342" s="291">
        <v>1</v>
      </c>
      <c r="L342" s="39">
        <v>1</v>
      </c>
      <c r="M342" s="39">
        <v>1</v>
      </c>
      <c r="N342" s="39">
        <v>1</v>
      </c>
      <c r="Q342" s="225"/>
      <c r="R342" s="225"/>
    </row>
    <row r="343" spans="1:18" ht="27" thickBot="1" x14ac:dyDescent="0.3">
      <c r="A343" s="842"/>
      <c r="B343" s="646"/>
      <c r="C343" s="653" t="s">
        <v>136</v>
      </c>
      <c r="D343" s="650" t="s">
        <v>222</v>
      </c>
      <c r="E343" s="650" t="s">
        <v>59</v>
      </c>
      <c r="F343" s="708" t="s">
        <v>8</v>
      </c>
      <c r="G343" s="74" t="s">
        <v>9</v>
      </c>
      <c r="H343" s="197">
        <f>H344+H345+H346+H347+H348</f>
        <v>690371.14730361477</v>
      </c>
      <c r="I343" s="174" t="s">
        <v>11</v>
      </c>
      <c r="J343" s="176">
        <v>115875.6</v>
      </c>
      <c r="K343" s="176">
        <f>127347.28</f>
        <v>127347.28</v>
      </c>
      <c r="L343" s="171">
        <f>127347.28*110.4%</f>
        <v>140591.39712000001</v>
      </c>
      <c r="M343" s="171">
        <f>L343*105.9%</f>
        <v>148886.28955008002</v>
      </c>
      <c r="N343" s="171">
        <f>M343*105.9%</f>
        <v>157670.58063353476</v>
      </c>
      <c r="Q343" s="62"/>
      <c r="R343" s="225"/>
    </row>
    <row r="344" spans="1:18" ht="39" x14ac:dyDescent="0.25">
      <c r="A344" s="842"/>
      <c r="B344" s="646"/>
      <c r="C344" s="654"/>
      <c r="D344" s="573"/>
      <c r="E344" s="573"/>
      <c r="F344" s="658"/>
      <c r="G344" s="189">
        <v>2024</v>
      </c>
      <c r="H344" s="202">
        <f>J343</f>
        <v>115875.6</v>
      </c>
      <c r="I344" s="295" t="s">
        <v>137</v>
      </c>
      <c r="J344" s="275">
        <v>2100</v>
      </c>
      <c r="K344" s="275">
        <v>2100</v>
      </c>
      <c r="L344" s="162">
        <v>2100</v>
      </c>
      <c r="M344" s="162">
        <v>2100</v>
      </c>
      <c r="N344" s="162">
        <v>2100</v>
      </c>
      <c r="Q344" s="225"/>
      <c r="R344" s="225"/>
    </row>
    <row r="345" spans="1:18" ht="39" x14ac:dyDescent="0.25">
      <c r="A345" s="842"/>
      <c r="B345" s="646"/>
      <c r="C345" s="654"/>
      <c r="D345" s="573"/>
      <c r="E345" s="573"/>
      <c r="F345" s="658"/>
      <c r="G345" s="199">
        <v>2025</v>
      </c>
      <c r="H345" s="191">
        <f>K343</f>
        <v>127347.28</v>
      </c>
      <c r="I345" s="288" t="s">
        <v>256</v>
      </c>
      <c r="J345" s="195">
        <f>J343/J344</f>
        <v>55.178857142857147</v>
      </c>
      <c r="K345" s="195">
        <f>K343/K344</f>
        <v>60.641561904761907</v>
      </c>
      <c r="L345" s="3">
        <f>L343/L344</f>
        <v>66.94828434285715</v>
      </c>
      <c r="M345" s="3">
        <f>M343/M344</f>
        <v>70.898233119085731</v>
      </c>
      <c r="N345" s="3">
        <f>N343/N344</f>
        <v>75.081228873111783</v>
      </c>
      <c r="Q345" s="225"/>
      <c r="R345" s="225"/>
    </row>
    <row r="346" spans="1:18" ht="23.45" customHeight="1" x14ac:dyDescent="0.25">
      <c r="A346" s="842"/>
      <c r="B346" s="646"/>
      <c r="C346" s="654"/>
      <c r="D346" s="573"/>
      <c r="E346" s="573"/>
      <c r="F346" s="707"/>
      <c r="G346" s="199">
        <v>2026</v>
      </c>
      <c r="H346" s="192">
        <f>L343</f>
        <v>140591.39712000001</v>
      </c>
      <c r="I346" s="568" t="s">
        <v>168</v>
      </c>
      <c r="J346" s="584">
        <v>1</v>
      </c>
      <c r="K346" s="584">
        <v>1</v>
      </c>
      <c r="L346" s="581">
        <v>1</v>
      </c>
      <c r="M346" s="581">
        <v>1</v>
      </c>
      <c r="N346" s="581">
        <v>1</v>
      </c>
      <c r="Q346" s="225"/>
      <c r="R346" s="225"/>
    </row>
    <row r="347" spans="1:18" ht="22.15" customHeight="1" x14ac:dyDescent="0.25">
      <c r="A347" s="842"/>
      <c r="B347" s="646"/>
      <c r="C347" s="654"/>
      <c r="D347" s="573"/>
      <c r="E347" s="573"/>
      <c r="F347" s="707"/>
      <c r="G347" s="199">
        <v>2027</v>
      </c>
      <c r="H347" s="192">
        <f>M343</f>
        <v>148886.28955008002</v>
      </c>
      <c r="I347" s="569"/>
      <c r="J347" s="585"/>
      <c r="K347" s="585"/>
      <c r="L347" s="582"/>
      <c r="M347" s="582"/>
      <c r="N347" s="582"/>
      <c r="Q347" s="225"/>
      <c r="R347" s="225"/>
    </row>
    <row r="348" spans="1:18" ht="22.9" customHeight="1" thickBot="1" x14ac:dyDescent="0.3">
      <c r="A348" s="842"/>
      <c r="B348" s="646"/>
      <c r="C348" s="654"/>
      <c r="D348" s="651"/>
      <c r="E348" s="651"/>
      <c r="F348" s="659"/>
      <c r="G348" s="236">
        <v>2028</v>
      </c>
      <c r="H348" s="235">
        <f>N343</f>
        <v>157670.58063353476</v>
      </c>
      <c r="I348" s="569"/>
      <c r="J348" s="585"/>
      <c r="K348" s="589"/>
      <c r="L348" s="583"/>
      <c r="M348" s="583"/>
      <c r="N348" s="583"/>
      <c r="Q348" s="225"/>
      <c r="R348" s="225"/>
    </row>
    <row r="349" spans="1:18" ht="27" thickBot="1" x14ac:dyDescent="0.3">
      <c r="A349" s="842"/>
      <c r="B349" s="646"/>
      <c r="C349" s="653" t="s">
        <v>103</v>
      </c>
      <c r="D349" s="650" t="s">
        <v>222</v>
      </c>
      <c r="E349" s="709" t="s">
        <v>59</v>
      </c>
      <c r="F349" s="660" t="s">
        <v>8</v>
      </c>
      <c r="G349" s="74" t="s">
        <v>9</v>
      </c>
      <c r="H349" s="197">
        <f>H350+H351+H352+H353+H354</f>
        <v>1612703.1080846109</v>
      </c>
      <c r="I349" s="309" t="s">
        <v>11</v>
      </c>
      <c r="J349" s="14">
        <v>270684.74</v>
      </c>
      <c r="K349" s="176">
        <f>297482.53</f>
        <v>297482.53000000003</v>
      </c>
      <c r="L349" s="171">
        <f>297482.53*110.4%</f>
        <v>328420.71312000003</v>
      </c>
      <c r="M349" s="171">
        <f>L349*105.9%</f>
        <v>347797.53519408009</v>
      </c>
      <c r="N349" s="171">
        <f>M349*105.9%</f>
        <v>368317.58977053087</v>
      </c>
      <c r="Q349" s="62"/>
      <c r="R349" s="225"/>
    </row>
    <row r="350" spans="1:18" ht="51.75" x14ac:dyDescent="0.25">
      <c r="A350" s="842"/>
      <c r="B350" s="646"/>
      <c r="C350" s="654"/>
      <c r="D350" s="573"/>
      <c r="E350" s="710"/>
      <c r="F350" s="661"/>
      <c r="G350" s="198">
        <v>2024</v>
      </c>
      <c r="H350" s="202">
        <f>J349</f>
        <v>270684.74</v>
      </c>
      <c r="I350" s="301" t="s">
        <v>104</v>
      </c>
      <c r="J350" s="165">
        <v>4800</v>
      </c>
      <c r="K350" s="275">
        <v>4800</v>
      </c>
      <c r="L350" s="162">
        <v>4800</v>
      </c>
      <c r="M350" s="162">
        <v>4800</v>
      </c>
      <c r="N350" s="162">
        <v>4800</v>
      </c>
      <c r="Q350" s="225"/>
      <c r="R350" s="225"/>
    </row>
    <row r="351" spans="1:18" ht="26.25" x14ac:dyDescent="0.25">
      <c r="A351" s="842"/>
      <c r="B351" s="646"/>
      <c r="C351" s="654"/>
      <c r="D351" s="573"/>
      <c r="E351" s="710"/>
      <c r="F351" s="661"/>
      <c r="G351" s="199">
        <v>2025</v>
      </c>
      <c r="H351" s="191">
        <f>K349</f>
        <v>297482.53000000003</v>
      </c>
      <c r="I351" s="311" t="s">
        <v>21</v>
      </c>
      <c r="J351" s="196">
        <f>J349/J350</f>
        <v>56.392654166666667</v>
      </c>
      <c r="K351" s="195">
        <f>K349/K350</f>
        <v>61.97552708333334</v>
      </c>
      <c r="L351" s="3">
        <f>L349/L350</f>
        <v>68.420981900000001</v>
      </c>
      <c r="M351" s="3">
        <f>M349/M350</f>
        <v>72.457819832100014</v>
      </c>
      <c r="N351" s="3">
        <f>N349/N350</f>
        <v>76.732831202193935</v>
      </c>
      <c r="Q351" s="225"/>
      <c r="R351" s="225"/>
    </row>
    <row r="352" spans="1:18" ht="24" customHeight="1" x14ac:dyDescent="0.25">
      <c r="A352" s="842"/>
      <c r="B352" s="646"/>
      <c r="C352" s="654"/>
      <c r="D352" s="573"/>
      <c r="E352" s="710"/>
      <c r="F352" s="662"/>
      <c r="G352" s="199">
        <v>2026</v>
      </c>
      <c r="H352" s="192">
        <f>L349</f>
        <v>328420.71312000003</v>
      </c>
      <c r="I352" s="568" t="s">
        <v>131</v>
      </c>
      <c r="J352" s="582">
        <v>1</v>
      </c>
      <c r="K352" s="584">
        <v>1</v>
      </c>
      <c r="L352" s="581">
        <v>1</v>
      </c>
      <c r="M352" s="581">
        <v>1</v>
      </c>
      <c r="N352" s="581">
        <v>1</v>
      </c>
      <c r="Q352" s="225"/>
      <c r="R352" s="225"/>
    </row>
    <row r="353" spans="1:18" ht="22.15" customHeight="1" x14ac:dyDescent="0.25">
      <c r="A353" s="842"/>
      <c r="B353" s="646"/>
      <c r="C353" s="654"/>
      <c r="D353" s="573"/>
      <c r="E353" s="710"/>
      <c r="F353" s="662"/>
      <c r="G353" s="199">
        <v>2027</v>
      </c>
      <c r="H353" s="192">
        <f>M349</f>
        <v>347797.53519408009</v>
      </c>
      <c r="I353" s="569"/>
      <c r="J353" s="582"/>
      <c r="K353" s="585"/>
      <c r="L353" s="582"/>
      <c r="M353" s="582"/>
      <c r="N353" s="582"/>
      <c r="Q353" s="225"/>
      <c r="R353" s="225"/>
    </row>
    <row r="354" spans="1:18" ht="21" customHeight="1" thickBot="1" x14ac:dyDescent="0.3">
      <c r="A354" s="842"/>
      <c r="B354" s="646"/>
      <c r="C354" s="654"/>
      <c r="D354" s="651"/>
      <c r="E354" s="710"/>
      <c r="F354" s="663"/>
      <c r="G354" s="236">
        <v>2028</v>
      </c>
      <c r="H354" s="235">
        <f>N349</f>
        <v>368317.58977053087</v>
      </c>
      <c r="I354" s="570"/>
      <c r="J354" s="583"/>
      <c r="K354" s="589"/>
      <c r="L354" s="583"/>
      <c r="M354" s="583"/>
      <c r="N354" s="583"/>
      <c r="Q354" s="225"/>
      <c r="R354" s="225"/>
    </row>
    <row r="355" spans="1:18" ht="32.25" customHeight="1" thickBot="1" x14ac:dyDescent="0.3">
      <c r="A355" s="842"/>
      <c r="B355" s="646"/>
      <c r="C355" s="807" t="s">
        <v>246</v>
      </c>
      <c r="D355" s="631" t="s">
        <v>7</v>
      </c>
      <c r="E355" s="628" t="s">
        <v>59</v>
      </c>
      <c r="F355" s="817" t="s">
        <v>8</v>
      </c>
      <c r="G355" s="248" t="s">
        <v>9</v>
      </c>
      <c r="H355" s="247">
        <f>H356+H357+H358+H359+H360</f>
        <v>265008.81856159173</v>
      </c>
      <c r="I355" s="310" t="s">
        <v>11</v>
      </c>
      <c r="J355" s="14">
        <v>39395.199999999997</v>
      </c>
      <c r="K355" s="176">
        <f>50011.32</f>
        <v>50011.32</v>
      </c>
      <c r="L355" s="171">
        <f>50011.32*110.4%</f>
        <v>55212.497280000003</v>
      </c>
      <c r="M355" s="171">
        <f>L355*105.9%</f>
        <v>58470.034619520011</v>
      </c>
      <c r="N355" s="171">
        <f>M355*105.9%</f>
        <v>61919.766662071699</v>
      </c>
      <c r="Q355" s="62"/>
      <c r="R355" s="225"/>
    </row>
    <row r="356" spans="1:18" ht="58.5" customHeight="1" x14ac:dyDescent="0.25">
      <c r="A356" s="842"/>
      <c r="B356" s="646"/>
      <c r="C356" s="808"/>
      <c r="D356" s="632"/>
      <c r="E356" s="629"/>
      <c r="F356" s="818"/>
      <c r="G356" s="218">
        <v>2024</v>
      </c>
      <c r="H356" s="249">
        <f>J355</f>
        <v>39395.199999999997</v>
      </c>
      <c r="I356" s="312" t="s">
        <v>197</v>
      </c>
      <c r="J356" s="165">
        <v>3277</v>
      </c>
      <c r="K356" s="275">
        <v>3327</v>
      </c>
      <c r="L356" s="162">
        <v>3330</v>
      </c>
      <c r="M356" s="162">
        <v>3334</v>
      </c>
      <c r="N356" s="162">
        <v>3336</v>
      </c>
      <c r="Q356" s="225"/>
      <c r="R356" s="225"/>
    </row>
    <row r="357" spans="1:18" ht="26.25" x14ac:dyDescent="0.25">
      <c r="A357" s="842"/>
      <c r="B357" s="646"/>
      <c r="C357" s="808"/>
      <c r="D357" s="632"/>
      <c r="E357" s="629"/>
      <c r="F357" s="818"/>
      <c r="G357" s="219">
        <v>2025</v>
      </c>
      <c r="H357" s="250">
        <f>K355</f>
        <v>50011.32</v>
      </c>
      <c r="I357" s="313" t="s">
        <v>21</v>
      </c>
      <c r="J357" s="167">
        <f>J355/J356</f>
        <v>12.021727189502593</v>
      </c>
      <c r="K357" s="195">
        <f>K355/K356</f>
        <v>15.031956717763752</v>
      </c>
      <c r="L357" s="3">
        <f>L355/L356</f>
        <v>16.580329513513515</v>
      </c>
      <c r="M357" s="3">
        <f>M355/M356</f>
        <v>17.537502885278947</v>
      </c>
      <c r="N357" s="3">
        <f>N355/N356</f>
        <v>18.561081133714538</v>
      </c>
      <c r="Q357" s="225"/>
      <c r="R357" s="225"/>
    </row>
    <row r="358" spans="1:18" ht="23.45" customHeight="1" x14ac:dyDescent="0.25">
      <c r="A358" s="842"/>
      <c r="B358" s="646"/>
      <c r="C358" s="808"/>
      <c r="D358" s="632"/>
      <c r="E358" s="629"/>
      <c r="F358" s="714"/>
      <c r="G358" s="199">
        <v>2026</v>
      </c>
      <c r="H358" s="251">
        <f>L355</f>
        <v>55212.497280000003</v>
      </c>
      <c r="I358" s="606" t="s">
        <v>131</v>
      </c>
      <c r="J358" s="581">
        <v>1</v>
      </c>
      <c r="K358" s="584">
        <v>1</v>
      </c>
      <c r="L358" s="581">
        <v>1</v>
      </c>
      <c r="M358" s="581">
        <v>1</v>
      </c>
      <c r="N358" s="581">
        <v>1</v>
      </c>
      <c r="Q358" s="225"/>
      <c r="R358" s="225"/>
    </row>
    <row r="359" spans="1:18" ht="22.15" customHeight="1" x14ac:dyDescent="0.25">
      <c r="A359" s="842"/>
      <c r="B359" s="646"/>
      <c r="C359" s="808"/>
      <c r="D359" s="632"/>
      <c r="E359" s="629"/>
      <c r="F359" s="714"/>
      <c r="G359" s="199">
        <v>2027</v>
      </c>
      <c r="H359" s="251">
        <f>M355</f>
        <v>58470.034619520011</v>
      </c>
      <c r="I359" s="607"/>
      <c r="J359" s="582"/>
      <c r="K359" s="585"/>
      <c r="L359" s="582"/>
      <c r="M359" s="582"/>
      <c r="N359" s="582"/>
      <c r="Q359" s="225"/>
      <c r="R359" s="225"/>
    </row>
    <row r="360" spans="1:18" ht="22.15" customHeight="1" thickBot="1" x14ac:dyDescent="0.3">
      <c r="A360" s="842"/>
      <c r="B360" s="646"/>
      <c r="C360" s="808"/>
      <c r="D360" s="809"/>
      <c r="E360" s="630"/>
      <c r="F360" s="819"/>
      <c r="G360" s="236">
        <v>2028</v>
      </c>
      <c r="H360" s="252">
        <f>N355</f>
        <v>61919.766662071699</v>
      </c>
      <c r="I360" s="608"/>
      <c r="J360" s="583"/>
      <c r="K360" s="589"/>
      <c r="L360" s="583"/>
      <c r="M360" s="583"/>
      <c r="N360" s="583"/>
      <c r="Q360" s="225"/>
      <c r="R360" s="225"/>
    </row>
    <row r="361" spans="1:18" ht="27" thickBot="1" x14ac:dyDescent="0.3">
      <c r="A361" s="842"/>
      <c r="B361" s="646"/>
      <c r="C361" s="653" t="s">
        <v>106</v>
      </c>
      <c r="D361" s="650" t="s">
        <v>222</v>
      </c>
      <c r="E361" s="650" t="s">
        <v>59</v>
      </c>
      <c r="F361" s="660" t="s">
        <v>8</v>
      </c>
      <c r="G361" s="74" t="s">
        <v>9</v>
      </c>
      <c r="H361" s="197">
        <f>H362+H365+H363+H364+H366</f>
        <v>1321747.7631513055</v>
      </c>
      <c r="I361" s="309" t="s">
        <v>11</v>
      </c>
      <c r="J361" s="14">
        <v>221849.23</v>
      </c>
      <c r="K361" s="176">
        <f>243812.31</f>
        <v>243812.31</v>
      </c>
      <c r="L361" s="171">
        <f>243812.31*110.4%</f>
        <v>269168.79024</v>
      </c>
      <c r="M361" s="171">
        <f>L361*105.9%</f>
        <v>285049.74886416004</v>
      </c>
      <c r="N361" s="171">
        <f>M361*105.9%</f>
        <v>301867.68404714554</v>
      </c>
      <c r="Q361" s="62"/>
      <c r="R361" s="225"/>
    </row>
    <row r="362" spans="1:18" ht="40.15" customHeight="1" x14ac:dyDescent="0.25">
      <c r="A362" s="842"/>
      <c r="B362" s="646"/>
      <c r="C362" s="654"/>
      <c r="D362" s="573"/>
      <c r="E362" s="573"/>
      <c r="F362" s="661"/>
      <c r="G362" s="198">
        <v>2024</v>
      </c>
      <c r="H362" s="202">
        <f>J361</f>
        <v>221849.23</v>
      </c>
      <c r="I362" s="605" t="s">
        <v>158</v>
      </c>
      <c r="J362" s="601">
        <v>1980</v>
      </c>
      <c r="K362" s="603">
        <v>1980</v>
      </c>
      <c r="L362" s="601">
        <v>1980</v>
      </c>
      <c r="M362" s="601">
        <v>1980</v>
      </c>
      <c r="N362" s="601">
        <v>1980</v>
      </c>
      <c r="Q362" s="225"/>
      <c r="R362" s="225"/>
    </row>
    <row r="363" spans="1:18" ht="19.5" x14ac:dyDescent="0.25">
      <c r="A363" s="842"/>
      <c r="B363" s="646"/>
      <c r="C363" s="654"/>
      <c r="D363" s="573"/>
      <c r="E363" s="573"/>
      <c r="F363" s="661"/>
      <c r="G363" s="219">
        <v>2025</v>
      </c>
      <c r="H363" s="191">
        <f>K361</f>
        <v>243812.31</v>
      </c>
      <c r="I363" s="605"/>
      <c r="J363" s="601"/>
      <c r="K363" s="603"/>
      <c r="L363" s="601"/>
      <c r="M363" s="601"/>
      <c r="N363" s="601"/>
      <c r="Q363" s="225"/>
      <c r="R363" s="225"/>
    </row>
    <row r="364" spans="1:18" ht="32.25" customHeight="1" thickBot="1" x14ac:dyDescent="0.3">
      <c r="A364" s="842"/>
      <c r="B364" s="646"/>
      <c r="C364" s="654"/>
      <c r="D364" s="573"/>
      <c r="E364" s="573"/>
      <c r="F364" s="661"/>
      <c r="G364" s="217">
        <v>2026</v>
      </c>
      <c r="H364" s="191">
        <f>L361</f>
        <v>269168.79024</v>
      </c>
      <c r="I364" s="592"/>
      <c r="J364" s="602"/>
      <c r="K364" s="604"/>
      <c r="L364" s="602"/>
      <c r="M364" s="602"/>
      <c r="N364" s="602"/>
      <c r="Q364" s="225"/>
      <c r="R364" s="225"/>
    </row>
    <row r="365" spans="1:18" ht="26.25" x14ac:dyDescent="0.25">
      <c r="A365" s="842"/>
      <c r="B365" s="646"/>
      <c r="C365" s="654"/>
      <c r="D365" s="573"/>
      <c r="E365" s="573"/>
      <c r="F365" s="661"/>
      <c r="G365" s="189">
        <v>2027</v>
      </c>
      <c r="H365" s="191">
        <f>M361</f>
        <v>285049.74886416004</v>
      </c>
      <c r="I365" s="288" t="s">
        <v>21</v>
      </c>
      <c r="J365" s="196">
        <f>J361/J362</f>
        <v>112.04506565656567</v>
      </c>
      <c r="K365" s="195">
        <f>K361/K362</f>
        <v>123.1375303030303</v>
      </c>
      <c r="L365" s="3">
        <f>L361/L362</f>
        <v>135.94383345454546</v>
      </c>
      <c r="M365" s="3">
        <f>M361/M362</f>
        <v>143.96451962836366</v>
      </c>
      <c r="N365" s="3">
        <f>N361/N362</f>
        <v>152.45842628643715</v>
      </c>
      <c r="Q365" s="225"/>
      <c r="R365" s="225"/>
    </row>
    <row r="366" spans="1:18" ht="45" customHeight="1" thickBot="1" x14ac:dyDescent="0.3">
      <c r="A366" s="842"/>
      <c r="B366" s="646"/>
      <c r="C366" s="654"/>
      <c r="D366" s="651"/>
      <c r="E366" s="651"/>
      <c r="F366" s="663"/>
      <c r="G366" s="236">
        <v>2028</v>
      </c>
      <c r="H366" s="235">
        <f>N361</f>
        <v>301867.68404714554</v>
      </c>
      <c r="I366" s="288" t="s">
        <v>131</v>
      </c>
      <c r="J366" s="296">
        <v>1</v>
      </c>
      <c r="K366" s="291">
        <v>1</v>
      </c>
      <c r="L366" s="39">
        <v>1</v>
      </c>
      <c r="M366" s="39">
        <v>1</v>
      </c>
      <c r="N366" s="39">
        <v>1</v>
      </c>
      <c r="Q366" s="225"/>
      <c r="R366" s="225"/>
    </row>
    <row r="367" spans="1:18" ht="27" thickBot="1" x14ac:dyDescent="0.3">
      <c r="A367" s="842"/>
      <c r="B367" s="646"/>
      <c r="C367" s="653" t="s">
        <v>107</v>
      </c>
      <c r="D367" s="665" t="s">
        <v>7</v>
      </c>
      <c r="E367" s="650" t="s">
        <v>59</v>
      </c>
      <c r="F367" s="708" t="s">
        <v>8</v>
      </c>
      <c r="G367" s="74" t="s">
        <v>9</v>
      </c>
      <c r="H367" s="197">
        <f>H368+H371+H369+H370+H372</f>
        <v>62957.001267751199</v>
      </c>
      <c r="I367" s="174" t="s">
        <v>11</v>
      </c>
      <c r="J367" s="303">
        <v>10287.92</v>
      </c>
      <c r="K367" s="176">
        <f>11675.05</f>
        <v>11675.05</v>
      </c>
      <c r="L367" s="171">
        <f>11675.05*110.4%</f>
        <v>12889.2552</v>
      </c>
      <c r="M367" s="171">
        <f>L367*105.9%</f>
        <v>13649.721256800001</v>
      </c>
      <c r="N367" s="14">
        <f>M367*105.9%</f>
        <v>14455.054810951204</v>
      </c>
      <c r="Q367" s="62"/>
      <c r="R367" s="225"/>
    </row>
    <row r="368" spans="1:18" ht="51.75" x14ac:dyDescent="0.25">
      <c r="A368" s="842"/>
      <c r="B368" s="646"/>
      <c r="C368" s="654"/>
      <c r="D368" s="666"/>
      <c r="E368" s="573"/>
      <c r="F368" s="658"/>
      <c r="G368" s="189">
        <v>2024</v>
      </c>
      <c r="H368" s="202">
        <f>J367</f>
        <v>10287.92</v>
      </c>
      <c r="I368" s="295" t="s">
        <v>108</v>
      </c>
      <c r="J368" s="297">
        <v>4306</v>
      </c>
      <c r="K368" s="275">
        <v>4421</v>
      </c>
      <c r="L368" s="162">
        <v>4430</v>
      </c>
      <c r="M368" s="162">
        <v>4435</v>
      </c>
      <c r="N368" s="162">
        <v>4440</v>
      </c>
      <c r="Q368" s="225"/>
      <c r="R368" s="225"/>
    </row>
    <row r="369" spans="1:18" ht="26.25" x14ac:dyDescent="0.25">
      <c r="A369" s="842"/>
      <c r="B369" s="646"/>
      <c r="C369" s="654"/>
      <c r="D369" s="666"/>
      <c r="E369" s="573"/>
      <c r="F369" s="658"/>
      <c r="G369" s="199">
        <v>2025</v>
      </c>
      <c r="H369" s="191">
        <f>K367</f>
        <v>11675.05</v>
      </c>
      <c r="I369" s="288" t="s">
        <v>21</v>
      </c>
      <c r="J369" s="167">
        <f>J367/J368</f>
        <v>2.3892057594054807</v>
      </c>
      <c r="K369" s="195">
        <f>K367/K368</f>
        <v>2.640816557339968</v>
      </c>
      <c r="L369" s="3">
        <f>L367/L368</f>
        <v>2.9095384198645595</v>
      </c>
      <c r="M369" s="3">
        <f>M367/M368</f>
        <v>3.0777274536189405</v>
      </c>
      <c r="N369" s="3">
        <f>N367/N368</f>
        <v>3.2556429754394602</v>
      </c>
      <c r="Q369" s="225"/>
      <c r="R369" s="225"/>
    </row>
    <row r="370" spans="1:18" ht="19.5" x14ac:dyDescent="0.25">
      <c r="A370" s="842"/>
      <c r="B370" s="646"/>
      <c r="C370" s="654"/>
      <c r="D370" s="666"/>
      <c r="E370" s="573"/>
      <c r="F370" s="707"/>
      <c r="G370" s="199">
        <v>2026</v>
      </c>
      <c r="H370" s="192">
        <f>L367</f>
        <v>12889.2552</v>
      </c>
      <c r="I370" s="568" t="s">
        <v>131</v>
      </c>
      <c r="J370" s="581">
        <v>1</v>
      </c>
      <c r="K370" s="584">
        <f>K368/J368</f>
        <v>1.0267069205759405</v>
      </c>
      <c r="L370" s="575">
        <f>L368/K368</f>
        <v>1.0020357385206966</v>
      </c>
      <c r="M370" s="575">
        <f>M368/L368</f>
        <v>1.0011286681715577</v>
      </c>
      <c r="N370" s="575">
        <f>N368/M368</f>
        <v>1.0011273957158964</v>
      </c>
      <c r="Q370" s="225"/>
      <c r="R370" s="225"/>
    </row>
    <row r="371" spans="1:18" ht="19.5" x14ac:dyDescent="0.25">
      <c r="A371" s="842"/>
      <c r="B371" s="646"/>
      <c r="C371" s="654"/>
      <c r="D371" s="666"/>
      <c r="E371" s="573"/>
      <c r="F371" s="707"/>
      <c r="G371" s="199">
        <v>2027</v>
      </c>
      <c r="H371" s="192">
        <f>M367</f>
        <v>13649.721256800001</v>
      </c>
      <c r="I371" s="569"/>
      <c r="J371" s="582"/>
      <c r="K371" s="585"/>
      <c r="L371" s="576"/>
      <c r="M371" s="576"/>
      <c r="N371" s="576"/>
      <c r="Q371" s="225"/>
      <c r="R371" s="225"/>
    </row>
    <row r="372" spans="1:18" ht="19.5" thickBot="1" x14ac:dyDescent="0.3">
      <c r="A372" s="842"/>
      <c r="B372" s="646"/>
      <c r="C372" s="654"/>
      <c r="D372" s="667"/>
      <c r="E372" s="651"/>
      <c r="F372" s="659"/>
      <c r="G372" s="236">
        <v>2028</v>
      </c>
      <c r="H372" s="345">
        <f>N367</f>
        <v>14455.054810951204</v>
      </c>
      <c r="I372" s="570"/>
      <c r="J372" s="583"/>
      <c r="K372" s="589"/>
      <c r="L372" s="577"/>
      <c r="M372" s="577"/>
      <c r="N372" s="577"/>
      <c r="Q372" s="225"/>
      <c r="R372" s="225"/>
    </row>
    <row r="373" spans="1:18" ht="27" thickBot="1" x14ac:dyDescent="0.3">
      <c r="A373" s="842"/>
      <c r="B373" s="646"/>
      <c r="C373" s="653" t="s">
        <v>44</v>
      </c>
      <c r="D373" s="650" t="s">
        <v>222</v>
      </c>
      <c r="E373" s="650" t="s">
        <v>59</v>
      </c>
      <c r="F373" s="708" t="s">
        <v>8</v>
      </c>
      <c r="G373" s="74" t="s">
        <v>9</v>
      </c>
      <c r="H373" s="197">
        <f>H374+H377+H375+H376+H378</f>
        <v>336368.90566143527</v>
      </c>
      <c r="I373" s="174" t="s">
        <v>11</v>
      </c>
      <c r="J373" s="14">
        <v>56457.96</v>
      </c>
      <c r="K373" s="176">
        <f>62047.3</f>
        <v>62047.3</v>
      </c>
      <c r="L373" s="171">
        <f>62047.3*110.4%</f>
        <v>68500.219200000007</v>
      </c>
      <c r="M373" s="171">
        <f>L373*105.9%</f>
        <v>72541.732132800025</v>
      </c>
      <c r="N373" s="171">
        <f>M373*105.9%</f>
        <v>76821.694328635233</v>
      </c>
      <c r="Q373" s="62"/>
      <c r="R373" s="225"/>
    </row>
    <row r="374" spans="1:18" ht="39" x14ac:dyDescent="0.25">
      <c r="A374" s="842"/>
      <c r="B374" s="646"/>
      <c r="C374" s="654"/>
      <c r="D374" s="573"/>
      <c r="E374" s="573"/>
      <c r="F374" s="658"/>
      <c r="G374" s="198">
        <v>2024</v>
      </c>
      <c r="H374" s="202">
        <f>J373</f>
        <v>56457.96</v>
      </c>
      <c r="I374" s="295" t="s">
        <v>12</v>
      </c>
      <c r="J374" s="275">
        <v>977</v>
      </c>
      <c r="K374" s="275">
        <v>977</v>
      </c>
      <c r="L374" s="162">
        <v>980</v>
      </c>
      <c r="M374" s="162">
        <v>985</v>
      </c>
      <c r="N374" s="162">
        <v>990</v>
      </c>
      <c r="Q374" s="225"/>
      <c r="R374" s="225"/>
    </row>
    <row r="375" spans="1:18" ht="26.25" x14ac:dyDescent="0.25">
      <c r="A375" s="842"/>
      <c r="B375" s="646"/>
      <c r="C375" s="654"/>
      <c r="D375" s="573"/>
      <c r="E375" s="573"/>
      <c r="F375" s="658"/>
      <c r="G375" s="199">
        <v>2025</v>
      </c>
      <c r="H375" s="191">
        <f>K373</f>
        <v>62047.3</v>
      </c>
      <c r="I375" s="288" t="s">
        <v>21</v>
      </c>
      <c r="J375" s="195">
        <f>J373/J374</f>
        <v>57.787062436028656</v>
      </c>
      <c r="K375" s="195">
        <f>K373/K374</f>
        <v>63.507983623336749</v>
      </c>
      <c r="L375" s="3">
        <f>L373/L374</f>
        <v>69.898182857142871</v>
      </c>
      <c r="M375" s="3">
        <f>M373/M374</f>
        <v>73.646428561218301</v>
      </c>
      <c r="N375" s="3">
        <f>N373/N374</f>
        <v>77.597671039025485</v>
      </c>
      <c r="Q375" s="225"/>
      <c r="R375" s="225"/>
    </row>
    <row r="376" spans="1:18" ht="19.5" x14ac:dyDescent="0.25">
      <c r="A376" s="842"/>
      <c r="B376" s="646"/>
      <c r="C376" s="654"/>
      <c r="D376" s="573"/>
      <c r="E376" s="573"/>
      <c r="F376" s="707"/>
      <c r="G376" s="199">
        <v>2026</v>
      </c>
      <c r="H376" s="192">
        <f>L373</f>
        <v>68500.219200000007</v>
      </c>
      <c r="I376" s="568" t="s">
        <v>131</v>
      </c>
      <c r="J376" s="584">
        <v>1</v>
      </c>
      <c r="K376" s="584">
        <f>K374/J374</f>
        <v>1</v>
      </c>
      <c r="L376" s="575">
        <f>L374/K374</f>
        <v>1.0030706243602865</v>
      </c>
      <c r="M376" s="575">
        <f>M374/L374</f>
        <v>1.0051020408163265</v>
      </c>
      <c r="N376" s="575">
        <f>N374/M374</f>
        <v>1.0050761421319796</v>
      </c>
      <c r="Q376" s="225"/>
      <c r="R376" s="225"/>
    </row>
    <row r="377" spans="1:18" ht="19.5" x14ac:dyDescent="0.25">
      <c r="A377" s="842"/>
      <c r="B377" s="646"/>
      <c r="C377" s="654"/>
      <c r="D377" s="573"/>
      <c r="E377" s="573"/>
      <c r="F377" s="707"/>
      <c r="G377" s="199">
        <v>2027</v>
      </c>
      <c r="H377" s="192">
        <f>M373</f>
        <v>72541.732132800025</v>
      </c>
      <c r="I377" s="569"/>
      <c r="J377" s="585"/>
      <c r="K377" s="585"/>
      <c r="L377" s="576"/>
      <c r="M377" s="576"/>
      <c r="N377" s="576"/>
      <c r="Q377" s="225"/>
      <c r="R377" s="225"/>
    </row>
    <row r="378" spans="1:18" ht="19.5" thickBot="1" x14ac:dyDescent="0.3">
      <c r="A378" s="842"/>
      <c r="B378" s="646"/>
      <c r="C378" s="654"/>
      <c r="D378" s="651"/>
      <c r="E378" s="651"/>
      <c r="F378" s="659"/>
      <c r="G378" s="236">
        <v>2028</v>
      </c>
      <c r="H378" s="253">
        <f>N373</f>
        <v>76821.694328635233</v>
      </c>
      <c r="I378" s="570"/>
      <c r="J378" s="589"/>
      <c r="K378" s="589"/>
      <c r="L378" s="577"/>
      <c r="M378" s="577"/>
      <c r="N378" s="577"/>
      <c r="Q378" s="225"/>
      <c r="R378" s="225"/>
    </row>
    <row r="379" spans="1:18" ht="26.25" thickBot="1" x14ac:dyDescent="0.3">
      <c r="A379" s="842"/>
      <c r="B379" s="646"/>
      <c r="C379" s="653" t="s">
        <v>138</v>
      </c>
      <c r="D379" s="650" t="s">
        <v>222</v>
      </c>
      <c r="E379" s="650" t="s">
        <v>59</v>
      </c>
      <c r="F379" s="708" t="s">
        <v>8</v>
      </c>
      <c r="G379" s="74" t="s">
        <v>9</v>
      </c>
      <c r="H379" s="197">
        <f>H380+H383+H381+H382+H384</f>
        <v>1014523.6141199968</v>
      </c>
      <c r="I379" s="276" t="s">
        <v>63</v>
      </c>
      <c r="J379" s="176">
        <v>170283.09</v>
      </c>
      <c r="K379" s="176">
        <f>187141.11</f>
        <v>187141.11</v>
      </c>
      <c r="L379" s="171">
        <f>187141.11*110.4%</f>
        <v>206603.78544000001</v>
      </c>
      <c r="M379" s="171">
        <f>L379*105.9%</f>
        <v>218793.40878096005</v>
      </c>
      <c r="N379" s="171">
        <f>M379*105.9%</f>
        <v>231702.21989903672</v>
      </c>
      <c r="Q379" s="62"/>
      <c r="R379" s="225"/>
    </row>
    <row r="380" spans="1:18" ht="38.450000000000003" customHeight="1" x14ac:dyDescent="0.25">
      <c r="A380" s="842"/>
      <c r="B380" s="646"/>
      <c r="C380" s="654"/>
      <c r="D380" s="573"/>
      <c r="E380" s="573"/>
      <c r="F380" s="658"/>
      <c r="G380" s="189">
        <v>2024</v>
      </c>
      <c r="H380" s="202">
        <f>J379</f>
        <v>170283.09</v>
      </c>
      <c r="I380" s="569" t="s">
        <v>123</v>
      </c>
      <c r="J380" s="593">
        <v>22</v>
      </c>
      <c r="K380" s="593">
        <v>21</v>
      </c>
      <c r="L380" s="595">
        <v>20</v>
      </c>
      <c r="M380" s="595">
        <v>20</v>
      </c>
      <c r="N380" s="595">
        <v>20</v>
      </c>
      <c r="Q380" s="225"/>
      <c r="R380" s="225"/>
    </row>
    <row r="381" spans="1:18" ht="39" customHeight="1" x14ac:dyDescent="0.25">
      <c r="A381" s="842"/>
      <c r="B381" s="646"/>
      <c r="C381" s="654"/>
      <c r="D381" s="573"/>
      <c r="E381" s="573"/>
      <c r="F381" s="658"/>
      <c r="G381" s="199">
        <v>2025</v>
      </c>
      <c r="H381" s="191">
        <f>K379</f>
        <v>187141.11</v>
      </c>
      <c r="I381" s="590"/>
      <c r="J381" s="594"/>
      <c r="K381" s="594"/>
      <c r="L381" s="596"/>
      <c r="M381" s="596"/>
      <c r="N381" s="596"/>
      <c r="Q381" s="225"/>
      <c r="R381" s="225"/>
    </row>
    <row r="382" spans="1:18" ht="62.25" customHeight="1" x14ac:dyDescent="0.25">
      <c r="A382" s="842"/>
      <c r="B382" s="646"/>
      <c r="C382" s="654"/>
      <c r="D382" s="573"/>
      <c r="E382" s="573"/>
      <c r="F382" s="658"/>
      <c r="G382" s="199">
        <v>2026</v>
      </c>
      <c r="H382" s="191">
        <f>L379</f>
        <v>206603.78544000001</v>
      </c>
      <c r="I382" s="591" t="s">
        <v>227</v>
      </c>
      <c r="J382" s="597">
        <f>J379/J380</f>
        <v>7740.1404545454543</v>
      </c>
      <c r="K382" s="597">
        <f>K379/K380</f>
        <v>8911.4814285714274</v>
      </c>
      <c r="L382" s="599">
        <f>L379/L380</f>
        <v>10330.189272</v>
      </c>
      <c r="M382" s="599">
        <f>M379/M380</f>
        <v>10939.670439048003</v>
      </c>
      <c r="N382" s="599">
        <f>N379/N380</f>
        <v>11585.110994951836</v>
      </c>
      <c r="Q382" s="225"/>
      <c r="R382" s="225"/>
    </row>
    <row r="383" spans="1:18" ht="36" customHeight="1" x14ac:dyDescent="0.25">
      <c r="A383" s="842"/>
      <c r="B383" s="646"/>
      <c r="C383" s="654"/>
      <c r="D383" s="573"/>
      <c r="E383" s="573"/>
      <c r="F383" s="707"/>
      <c r="G383" s="199">
        <v>2027</v>
      </c>
      <c r="H383" s="192">
        <f>M379</f>
        <v>218793.40878096005</v>
      </c>
      <c r="I383" s="592"/>
      <c r="J383" s="598"/>
      <c r="K383" s="598"/>
      <c r="L383" s="600"/>
      <c r="M383" s="600"/>
      <c r="N383" s="600"/>
      <c r="Q383" s="225"/>
      <c r="R383" s="225"/>
    </row>
    <row r="384" spans="1:18" ht="75.75" customHeight="1" thickBot="1" x14ac:dyDescent="0.3">
      <c r="A384" s="842"/>
      <c r="B384" s="646"/>
      <c r="C384" s="654"/>
      <c r="D384" s="651"/>
      <c r="E384" s="651"/>
      <c r="F384" s="659"/>
      <c r="G384" s="61">
        <v>2028</v>
      </c>
      <c r="H384" s="254">
        <f>N379</f>
        <v>231702.21989903672</v>
      </c>
      <c r="I384" s="308" t="s">
        <v>160</v>
      </c>
      <c r="J384" s="158">
        <v>1</v>
      </c>
      <c r="K384" s="291">
        <f>K380/J380</f>
        <v>0.95454545454545459</v>
      </c>
      <c r="L384" s="39">
        <f>L380/K380</f>
        <v>0.95238095238095233</v>
      </c>
      <c r="M384" s="39">
        <f>M380/L380</f>
        <v>1</v>
      </c>
      <c r="N384" s="39">
        <f>N380/M380</f>
        <v>1</v>
      </c>
      <c r="Q384" s="225"/>
      <c r="R384" s="225"/>
    </row>
    <row r="385" spans="1:18" ht="36.75" customHeight="1" thickBot="1" x14ac:dyDescent="0.3">
      <c r="A385" s="842"/>
      <c r="B385" s="646"/>
      <c r="C385" s="655" t="s">
        <v>55</v>
      </c>
      <c r="D385" s="650" t="s">
        <v>222</v>
      </c>
      <c r="E385" s="650" t="s">
        <v>59</v>
      </c>
      <c r="F385" s="665" t="s">
        <v>8</v>
      </c>
      <c r="G385" s="74" t="s">
        <v>9</v>
      </c>
      <c r="H385" s="197">
        <f>H386+H389+H387+H388+H390</f>
        <v>11224.181824431362</v>
      </c>
      <c r="I385" s="309" t="s">
        <v>11</v>
      </c>
      <c r="J385" s="14">
        <v>1864.96</v>
      </c>
      <c r="K385" s="176">
        <f>2074.64</f>
        <v>2074.64</v>
      </c>
      <c r="L385" s="171">
        <f>2074.64*110.4%</f>
        <v>2290.40256</v>
      </c>
      <c r="M385" s="171">
        <f>L385*105.9%</f>
        <v>2425.5363110400003</v>
      </c>
      <c r="N385" s="171">
        <f>M385*105.9%</f>
        <v>2568.6429533913606</v>
      </c>
      <c r="Q385" s="62"/>
      <c r="R385" s="225"/>
    </row>
    <row r="386" spans="1:18" ht="39" x14ac:dyDescent="0.25">
      <c r="A386" s="842"/>
      <c r="B386" s="646"/>
      <c r="C386" s="656"/>
      <c r="D386" s="573"/>
      <c r="E386" s="573"/>
      <c r="F386" s="666"/>
      <c r="G386" s="189">
        <v>2024</v>
      </c>
      <c r="H386" s="202">
        <f>J385</f>
        <v>1864.96</v>
      </c>
      <c r="I386" s="301" t="s">
        <v>27</v>
      </c>
      <c r="J386" s="165">
        <v>56</v>
      </c>
      <c r="K386" s="275">
        <v>53</v>
      </c>
      <c r="L386" s="162">
        <v>50</v>
      </c>
      <c r="M386" s="162">
        <v>48</v>
      </c>
      <c r="N386" s="162">
        <v>46</v>
      </c>
      <c r="Q386" s="225"/>
      <c r="R386" s="225"/>
    </row>
    <row r="387" spans="1:18" ht="26.25" x14ac:dyDescent="0.25">
      <c r="A387" s="842"/>
      <c r="B387" s="646"/>
      <c r="C387" s="656"/>
      <c r="D387" s="573"/>
      <c r="E387" s="573"/>
      <c r="F387" s="666"/>
      <c r="G387" s="199">
        <v>2025</v>
      </c>
      <c r="H387" s="191">
        <f>K385</f>
        <v>2074.64</v>
      </c>
      <c r="I387" s="302" t="s">
        <v>10</v>
      </c>
      <c r="J387" s="167">
        <f>J385/J386</f>
        <v>33.302857142857142</v>
      </c>
      <c r="K387" s="195">
        <f>K385/K386</f>
        <v>39.144150943396227</v>
      </c>
      <c r="L387" s="3">
        <f>L385/L386</f>
        <v>45.808051200000001</v>
      </c>
      <c r="M387" s="3">
        <f>M385/M386</f>
        <v>50.532006480000007</v>
      </c>
      <c r="N387" s="3">
        <f>N385/N386</f>
        <v>55.840064204160015</v>
      </c>
      <c r="Q387" s="225"/>
      <c r="R387" s="225"/>
    </row>
    <row r="388" spans="1:18" ht="19.5" x14ac:dyDescent="0.25">
      <c r="A388" s="842"/>
      <c r="B388" s="646"/>
      <c r="C388" s="656"/>
      <c r="D388" s="573"/>
      <c r="E388" s="573"/>
      <c r="F388" s="666"/>
      <c r="G388" s="199">
        <v>2026</v>
      </c>
      <c r="H388" s="192">
        <f>L385</f>
        <v>2290.40256</v>
      </c>
      <c r="I388" s="578" t="s">
        <v>161</v>
      </c>
      <c r="J388" s="581">
        <v>1</v>
      </c>
      <c r="K388" s="584">
        <f>K386/J386</f>
        <v>0.9464285714285714</v>
      </c>
      <c r="L388" s="581">
        <f>L386/K386</f>
        <v>0.94339622641509435</v>
      </c>
      <c r="M388" s="581">
        <f>M386/L386</f>
        <v>0.96</v>
      </c>
      <c r="N388" s="581">
        <f>N386/M386</f>
        <v>0.95833333333333337</v>
      </c>
      <c r="Q388" s="225"/>
      <c r="R388" s="225"/>
    </row>
    <row r="389" spans="1:18" ht="20.25" thickBot="1" x14ac:dyDescent="0.3">
      <c r="A389" s="842"/>
      <c r="B389" s="646"/>
      <c r="C389" s="656"/>
      <c r="D389" s="573"/>
      <c r="E389" s="573"/>
      <c r="F389" s="666"/>
      <c r="G389" s="205">
        <v>2027</v>
      </c>
      <c r="H389" s="192">
        <f>M385</f>
        <v>2425.5363110400003</v>
      </c>
      <c r="I389" s="579"/>
      <c r="J389" s="582"/>
      <c r="K389" s="585"/>
      <c r="L389" s="582"/>
      <c r="M389" s="582"/>
      <c r="N389" s="582"/>
      <c r="Q389" s="225"/>
      <c r="R389" s="225"/>
    </row>
    <row r="390" spans="1:18" ht="19.5" thickBot="1" x14ac:dyDescent="0.3">
      <c r="A390" s="842"/>
      <c r="B390" s="646"/>
      <c r="C390" s="664"/>
      <c r="D390" s="651"/>
      <c r="E390" s="651"/>
      <c r="F390" s="667"/>
      <c r="G390" s="72">
        <v>2028</v>
      </c>
      <c r="H390" s="346">
        <f>N385</f>
        <v>2568.6429533913606</v>
      </c>
      <c r="I390" s="580"/>
      <c r="J390" s="583"/>
      <c r="K390" s="585"/>
      <c r="L390" s="582"/>
      <c r="M390" s="582"/>
      <c r="N390" s="582"/>
      <c r="Q390" s="225"/>
      <c r="R390" s="225"/>
    </row>
    <row r="391" spans="1:18" ht="27" thickBot="1" x14ac:dyDescent="0.3">
      <c r="A391" s="842"/>
      <c r="B391" s="646"/>
      <c r="C391" s="672" t="s">
        <v>247</v>
      </c>
      <c r="D391" s="650" t="s">
        <v>213</v>
      </c>
      <c r="E391" s="650" t="s">
        <v>59</v>
      </c>
      <c r="F391" s="665" t="s">
        <v>8</v>
      </c>
      <c r="G391" s="72" t="s">
        <v>9</v>
      </c>
      <c r="H391" s="255">
        <f>L391+M391+N391</f>
        <v>114013.01909738002</v>
      </c>
      <c r="I391" s="174" t="s">
        <v>11</v>
      </c>
      <c r="J391" s="318"/>
      <c r="K391" s="176"/>
      <c r="L391" s="171">
        <v>36566.070910000002</v>
      </c>
      <c r="M391" s="171">
        <f>36566.07091*105.9%</f>
        <v>38723.469093690008</v>
      </c>
      <c r="N391" s="171">
        <f>36566.07091*105.9%+0.01</f>
        <v>38723.47909369001</v>
      </c>
      <c r="Q391" s="225"/>
      <c r="R391" s="225"/>
    </row>
    <row r="392" spans="1:18" ht="64.5" x14ac:dyDescent="0.25">
      <c r="A392" s="842"/>
      <c r="B392" s="646"/>
      <c r="C392" s="673"/>
      <c r="D392" s="573"/>
      <c r="E392" s="573"/>
      <c r="F392" s="666"/>
      <c r="G392" s="258">
        <v>2026</v>
      </c>
      <c r="H392" s="188">
        <f>L391</f>
        <v>36566.070910000002</v>
      </c>
      <c r="I392" s="301" t="s">
        <v>251</v>
      </c>
      <c r="J392" s="154"/>
      <c r="K392" s="316"/>
      <c r="L392" s="495">
        <v>200</v>
      </c>
      <c r="M392" s="495">
        <v>200</v>
      </c>
      <c r="N392" s="495">
        <v>200</v>
      </c>
      <c r="Q392" s="225"/>
      <c r="R392" s="227"/>
    </row>
    <row r="393" spans="1:18" ht="26.25" x14ac:dyDescent="0.25">
      <c r="A393" s="842"/>
      <c r="B393" s="646"/>
      <c r="C393" s="673"/>
      <c r="D393" s="573"/>
      <c r="E393" s="573"/>
      <c r="F393" s="666"/>
      <c r="G393" s="258">
        <v>2027</v>
      </c>
      <c r="H393" s="188">
        <f>M391</f>
        <v>38723.469093690008</v>
      </c>
      <c r="I393" s="302" t="s">
        <v>10</v>
      </c>
      <c r="J393" s="186"/>
      <c r="K393" s="187"/>
      <c r="L393" s="338">
        <f>L391/L392</f>
        <v>182.83035455000001</v>
      </c>
      <c r="M393" s="338">
        <f>M391/M392</f>
        <v>193.61734546845003</v>
      </c>
      <c r="N393" s="338">
        <f>N391/N392</f>
        <v>193.61739546845004</v>
      </c>
      <c r="Q393" s="225"/>
      <c r="R393" s="225"/>
    </row>
    <row r="394" spans="1:18" ht="43.5" customHeight="1" thickBot="1" x14ac:dyDescent="0.3">
      <c r="A394" s="842"/>
      <c r="B394" s="648"/>
      <c r="C394" s="674"/>
      <c r="D394" s="651"/>
      <c r="E394" s="651"/>
      <c r="F394" s="667"/>
      <c r="G394" s="259">
        <v>2028</v>
      </c>
      <c r="H394" s="256">
        <f>N391</f>
        <v>38723.47909369001</v>
      </c>
      <c r="I394" s="314" t="s">
        <v>131</v>
      </c>
      <c r="J394" s="161"/>
      <c r="K394" s="194"/>
      <c r="L394" s="161">
        <v>1</v>
      </c>
      <c r="M394" s="158">
        <v>1</v>
      </c>
      <c r="N394" s="155">
        <v>1</v>
      </c>
      <c r="Q394" s="225"/>
      <c r="R394" s="225"/>
    </row>
    <row r="395" spans="1:18" ht="26.25" customHeight="1" thickBot="1" x14ac:dyDescent="0.3">
      <c r="A395" s="842"/>
      <c r="B395" s="840" t="s">
        <v>268</v>
      </c>
      <c r="C395" s="653" t="s">
        <v>264</v>
      </c>
      <c r="D395" s="650" t="s">
        <v>222</v>
      </c>
      <c r="E395" s="709" t="s">
        <v>125</v>
      </c>
      <c r="F395" s="660" t="s">
        <v>8</v>
      </c>
      <c r="G395" s="200" t="s">
        <v>9</v>
      </c>
      <c r="H395" s="257">
        <f>H396+H399+H397+H398+H400</f>
        <v>74826.896720000004</v>
      </c>
      <c r="I395" s="315" t="s">
        <v>63</v>
      </c>
      <c r="J395" s="14">
        <v>12320</v>
      </c>
      <c r="K395" s="224">
        <f>13539.68</f>
        <v>13539.68</v>
      </c>
      <c r="L395" s="14">
        <f>(13539.68*110.4%)+450</f>
        <v>15397.806720000002</v>
      </c>
      <c r="M395" s="14">
        <f>15829.73+477</f>
        <v>16306.73</v>
      </c>
      <c r="N395" s="171">
        <f>16763.68+499</f>
        <v>17262.68</v>
      </c>
      <c r="Q395" s="62"/>
      <c r="R395" s="225"/>
    </row>
    <row r="396" spans="1:18" ht="116.25" customHeight="1" thickBot="1" x14ac:dyDescent="0.3">
      <c r="A396" s="842"/>
      <c r="B396" s="840"/>
      <c r="C396" s="654"/>
      <c r="D396" s="573"/>
      <c r="E396" s="710"/>
      <c r="F396" s="661"/>
      <c r="G396" s="200">
        <v>2024</v>
      </c>
      <c r="H396" s="202">
        <f>J395</f>
        <v>12320</v>
      </c>
      <c r="I396" s="516" t="s">
        <v>265</v>
      </c>
      <c r="J396" s="319">
        <v>13275</v>
      </c>
      <c r="K396" s="177">
        <v>13295</v>
      </c>
      <c r="L396" s="156">
        <f>13310+12</f>
        <v>13322</v>
      </c>
      <c r="M396" s="156">
        <f>13315+12</f>
        <v>13327</v>
      </c>
      <c r="N396" s="156">
        <f>13320+12</f>
        <v>13332</v>
      </c>
      <c r="Q396" s="225"/>
      <c r="R396" s="225"/>
    </row>
    <row r="397" spans="1:18" ht="63" customHeight="1" thickBot="1" x14ac:dyDescent="0.3">
      <c r="A397" s="842"/>
      <c r="B397" s="840"/>
      <c r="C397" s="654"/>
      <c r="D397" s="573"/>
      <c r="E397" s="710"/>
      <c r="F397" s="661"/>
      <c r="G397" s="189">
        <v>2025</v>
      </c>
      <c r="H397" s="191">
        <f>K395</f>
        <v>13539.68</v>
      </c>
      <c r="I397" s="308" t="s">
        <v>266</v>
      </c>
      <c r="J397" s="178">
        <f>J395/J396</f>
        <v>0.92806026365348404</v>
      </c>
      <c r="K397" s="317">
        <f>K395/K396</f>
        <v>1.0184039112448289</v>
      </c>
      <c r="L397" s="25">
        <f>L395/L396</f>
        <v>1.1558179492568685</v>
      </c>
      <c r="M397" s="25">
        <f>M395/M396</f>
        <v>1.2235859533278306</v>
      </c>
      <c r="N397" s="25">
        <f>N395/N396</f>
        <v>1.2948304830483048</v>
      </c>
      <c r="Q397" s="225"/>
      <c r="R397" s="225"/>
    </row>
    <row r="398" spans="1:18" ht="20.25" thickBot="1" x14ac:dyDescent="0.3">
      <c r="A398" s="842"/>
      <c r="B398" s="840"/>
      <c r="C398" s="654"/>
      <c r="D398" s="573"/>
      <c r="E398" s="710"/>
      <c r="F398" s="662"/>
      <c r="G398" s="199">
        <v>2026</v>
      </c>
      <c r="H398" s="192">
        <f>L395</f>
        <v>15397.806720000002</v>
      </c>
      <c r="I398" s="568" t="s">
        <v>157</v>
      </c>
      <c r="J398" s="581">
        <v>1</v>
      </c>
      <c r="K398" s="584">
        <f>K396/J396</f>
        <v>1.0015065913370997</v>
      </c>
      <c r="L398" s="581">
        <f>L396/K396</f>
        <v>1.0020308386611507</v>
      </c>
      <c r="M398" s="581">
        <f>M396/L396</f>
        <v>1.0003753190211679</v>
      </c>
      <c r="N398" s="581">
        <f>N396/M396</f>
        <v>1.0003751782096495</v>
      </c>
      <c r="Q398" s="225"/>
      <c r="R398" s="225"/>
    </row>
    <row r="399" spans="1:18" ht="20.25" thickBot="1" x14ac:dyDescent="0.3">
      <c r="A399" s="842"/>
      <c r="B399" s="840"/>
      <c r="C399" s="654"/>
      <c r="D399" s="573"/>
      <c r="E399" s="710"/>
      <c r="F399" s="662"/>
      <c r="G399" s="199">
        <v>2027</v>
      </c>
      <c r="H399" s="192">
        <f>M395</f>
        <v>16306.73</v>
      </c>
      <c r="I399" s="569"/>
      <c r="J399" s="582"/>
      <c r="K399" s="585"/>
      <c r="L399" s="582"/>
      <c r="M399" s="582"/>
      <c r="N399" s="582"/>
      <c r="Q399" s="225"/>
      <c r="R399" s="225"/>
    </row>
    <row r="400" spans="1:18" ht="24.75" customHeight="1" thickBot="1" x14ac:dyDescent="0.3">
      <c r="A400" s="842"/>
      <c r="B400" s="840"/>
      <c r="C400" s="654"/>
      <c r="D400" s="651"/>
      <c r="E400" s="710"/>
      <c r="F400" s="663"/>
      <c r="G400" s="170">
        <v>2028</v>
      </c>
      <c r="H400" s="331">
        <f>N395</f>
        <v>17262.68</v>
      </c>
      <c r="I400" s="569"/>
      <c r="J400" s="582"/>
      <c r="K400" s="585"/>
      <c r="L400" s="582"/>
      <c r="M400" s="582"/>
      <c r="N400" s="582"/>
      <c r="Q400" s="225"/>
      <c r="R400" s="225"/>
    </row>
    <row r="401" spans="1:18" ht="35.25" customHeight="1" thickBot="1" x14ac:dyDescent="0.3">
      <c r="A401" s="842"/>
      <c r="B401" s="840"/>
      <c r="C401" s="783" t="s">
        <v>248</v>
      </c>
      <c r="D401" s="790" t="s">
        <v>7</v>
      </c>
      <c r="E401" s="830" t="s">
        <v>215</v>
      </c>
      <c r="F401" s="832" t="s">
        <v>8</v>
      </c>
      <c r="G401" s="379" t="s">
        <v>9</v>
      </c>
      <c r="H401" s="408">
        <f>J401+K401</f>
        <v>2381.9499999999998</v>
      </c>
      <c r="I401" s="409" t="s">
        <v>63</v>
      </c>
      <c r="J401" s="14">
        <v>1134.8</v>
      </c>
      <c r="K401" s="224">
        <v>1247.1500000000001</v>
      </c>
      <c r="L401" s="14"/>
      <c r="M401" s="14"/>
      <c r="N401" s="14"/>
      <c r="Q401" s="62"/>
      <c r="R401" s="225"/>
    </row>
    <row r="402" spans="1:18" ht="39" customHeight="1" thickBot="1" x14ac:dyDescent="0.3">
      <c r="A402" s="842"/>
      <c r="B402" s="840"/>
      <c r="C402" s="784"/>
      <c r="D402" s="791"/>
      <c r="E402" s="831"/>
      <c r="F402" s="833"/>
      <c r="G402" s="371">
        <v>2024</v>
      </c>
      <c r="H402" s="410">
        <f>J401</f>
        <v>1134.8</v>
      </c>
      <c r="I402" s="411" t="s">
        <v>216</v>
      </c>
      <c r="J402" s="412">
        <v>2</v>
      </c>
      <c r="K402" s="413">
        <v>2</v>
      </c>
      <c r="L402" s="177"/>
      <c r="M402" s="156"/>
      <c r="N402" s="156"/>
      <c r="Q402" s="225"/>
      <c r="R402" s="225"/>
    </row>
    <row r="403" spans="1:18" ht="42.75" customHeight="1" thickBot="1" x14ac:dyDescent="0.3">
      <c r="A403" s="842"/>
      <c r="B403" s="840"/>
      <c r="C403" s="784"/>
      <c r="D403" s="791"/>
      <c r="E403" s="831"/>
      <c r="F403" s="833"/>
      <c r="G403" s="824">
        <v>2025</v>
      </c>
      <c r="H403" s="827">
        <f>K401</f>
        <v>1247.1500000000001</v>
      </c>
      <c r="I403" s="411" t="s">
        <v>217</v>
      </c>
      <c r="J403" s="178">
        <f>J401/J402</f>
        <v>567.4</v>
      </c>
      <c r="K403" s="317">
        <f>K401/K402</f>
        <v>623.57500000000005</v>
      </c>
      <c r="L403" s="178"/>
      <c r="M403" s="178"/>
      <c r="N403" s="414"/>
      <c r="Q403" s="225"/>
      <c r="R403" s="225"/>
    </row>
    <row r="404" spans="1:18" ht="18.600000000000001" customHeight="1" thickBot="1" x14ac:dyDescent="0.3">
      <c r="A404" s="842"/>
      <c r="B404" s="840"/>
      <c r="C404" s="784"/>
      <c r="D404" s="791"/>
      <c r="E404" s="831"/>
      <c r="F404" s="834"/>
      <c r="G404" s="825"/>
      <c r="H404" s="828"/>
      <c r="I404" s="586" t="s">
        <v>218</v>
      </c>
      <c r="J404" s="582">
        <v>1</v>
      </c>
      <c r="K404" s="584">
        <v>1</v>
      </c>
      <c r="L404" s="581"/>
      <c r="M404" s="581"/>
      <c r="N404" s="581"/>
      <c r="Q404" s="225"/>
      <c r="R404" s="225"/>
    </row>
    <row r="405" spans="1:18" ht="18.600000000000001" customHeight="1" thickBot="1" x14ac:dyDescent="0.3">
      <c r="A405" s="842"/>
      <c r="B405" s="840"/>
      <c r="C405" s="784"/>
      <c r="D405" s="791"/>
      <c r="E405" s="831"/>
      <c r="F405" s="834"/>
      <c r="G405" s="825"/>
      <c r="H405" s="828"/>
      <c r="I405" s="587"/>
      <c r="J405" s="582"/>
      <c r="K405" s="585"/>
      <c r="L405" s="582"/>
      <c r="M405" s="582"/>
      <c r="N405" s="582"/>
      <c r="Q405" s="225"/>
      <c r="R405" s="225"/>
    </row>
    <row r="406" spans="1:18" ht="10.5" customHeight="1" thickBot="1" x14ac:dyDescent="0.3">
      <c r="A406" s="842"/>
      <c r="B406" s="840"/>
      <c r="C406" s="784"/>
      <c r="D406" s="792"/>
      <c r="E406" s="831"/>
      <c r="F406" s="835"/>
      <c r="G406" s="826"/>
      <c r="H406" s="829"/>
      <c r="I406" s="588"/>
      <c r="J406" s="583"/>
      <c r="K406" s="589"/>
      <c r="L406" s="583"/>
      <c r="M406" s="583"/>
      <c r="N406" s="583"/>
      <c r="Q406" s="225"/>
      <c r="R406" s="225"/>
    </row>
    <row r="407" spans="1:18" ht="27" thickBot="1" x14ac:dyDescent="0.3">
      <c r="A407" s="842"/>
      <c r="B407" s="840"/>
      <c r="C407" s="716" t="s">
        <v>249</v>
      </c>
      <c r="D407" s="650" t="s">
        <v>222</v>
      </c>
      <c r="E407" s="650" t="s">
        <v>126</v>
      </c>
      <c r="F407" s="660" t="s">
        <v>8</v>
      </c>
      <c r="G407" s="74" t="s">
        <v>9</v>
      </c>
      <c r="H407" s="173">
        <f>H408+H411+H409+H410+H412</f>
        <v>2525196.9548953902</v>
      </c>
      <c r="I407" s="174" t="s">
        <v>63</v>
      </c>
      <c r="J407" s="15">
        <f>432485.8</f>
        <v>432485.8</v>
      </c>
      <c r="K407" s="176">
        <f>463887.1</f>
        <v>463887.1</v>
      </c>
      <c r="L407" s="171">
        <f>463887.1*110.4%</f>
        <v>512131.35840000003</v>
      </c>
      <c r="M407" s="171">
        <f>L407*105.9%</f>
        <v>542347.10854560009</v>
      </c>
      <c r="N407" s="14">
        <f>M407*105.9%</f>
        <v>574345.58794979053</v>
      </c>
      <c r="Q407" s="62"/>
      <c r="R407" s="225"/>
    </row>
    <row r="408" spans="1:18" ht="27" thickBot="1" x14ac:dyDescent="0.3">
      <c r="A408" s="842"/>
      <c r="B408" s="840"/>
      <c r="C408" s="717"/>
      <c r="D408" s="573"/>
      <c r="E408" s="573"/>
      <c r="F408" s="661"/>
      <c r="G408" s="198">
        <v>2024</v>
      </c>
      <c r="H408" s="243">
        <f>J407</f>
        <v>432485.8</v>
      </c>
      <c r="I408" s="295" t="s">
        <v>18</v>
      </c>
      <c r="J408" s="275">
        <v>1522804</v>
      </c>
      <c r="K408" s="275">
        <v>1518626</v>
      </c>
      <c r="L408" s="162">
        <v>1518000</v>
      </c>
      <c r="M408" s="162">
        <v>1517625</v>
      </c>
      <c r="N408" s="162">
        <v>1517000</v>
      </c>
      <c r="Q408" s="225"/>
      <c r="R408" s="225"/>
    </row>
    <row r="409" spans="1:18" ht="39.75" thickBot="1" x14ac:dyDescent="0.3">
      <c r="A409" s="842"/>
      <c r="B409" s="840"/>
      <c r="C409" s="717"/>
      <c r="D409" s="573"/>
      <c r="E409" s="573"/>
      <c r="F409" s="661"/>
      <c r="G409" s="199">
        <v>2025</v>
      </c>
      <c r="H409" s="67">
        <f>K407</f>
        <v>463887.1</v>
      </c>
      <c r="I409" s="288" t="s">
        <v>19</v>
      </c>
      <c r="J409" s="195">
        <f>J407/J408*1000</f>
        <v>284.00621485102477</v>
      </c>
      <c r="K409" s="195">
        <f>K407/K408*1000</f>
        <v>305.46500586714569</v>
      </c>
      <c r="L409" s="3">
        <f>L407/L408*1000</f>
        <v>337.37243636363638</v>
      </c>
      <c r="M409" s="3">
        <f>M407/M408*1000</f>
        <v>357.36569214766502</v>
      </c>
      <c r="N409" s="3">
        <f>N407/N408*1000</f>
        <v>378.60618849689553</v>
      </c>
      <c r="Q409" s="225"/>
      <c r="R409" s="225"/>
    </row>
    <row r="410" spans="1:18" ht="20.25" thickBot="1" x14ac:dyDescent="0.3">
      <c r="A410" s="842"/>
      <c r="B410" s="840"/>
      <c r="C410" s="717"/>
      <c r="D410" s="573"/>
      <c r="E410" s="573"/>
      <c r="F410" s="662"/>
      <c r="G410" s="199">
        <v>2026</v>
      </c>
      <c r="H410" s="265">
        <f>L407</f>
        <v>512131.35840000003</v>
      </c>
      <c r="I410" s="568" t="s">
        <v>169</v>
      </c>
      <c r="J410" s="584">
        <v>1</v>
      </c>
      <c r="K410" s="584">
        <v>1</v>
      </c>
      <c r="L410" s="575">
        <v>1</v>
      </c>
      <c r="M410" s="575">
        <v>1</v>
      </c>
      <c r="N410" s="575">
        <v>1</v>
      </c>
      <c r="Q410" s="225"/>
      <c r="R410" s="225"/>
    </row>
    <row r="411" spans="1:18" ht="20.25" thickBot="1" x14ac:dyDescent="0.3">
      <c r="A411" s="842"/>
      <c r="B411" s="840"/>
      <c r="C411" s="717"/>
      <c r="D411" s="573"/>
      <c r="E411" s="573"/>
      <c r="F411" s="662"/>
      <c r="G411" s="199">
        <v>2027</v>
      </c>
      <c r="H411" s="265">
        <f>M407</f>
        <v>542347.10854560009</v>
      </c>
      <c r="I411" s="569"/>
      <c r="J411" s="585"/>
      <c r="K411" s="585"/>
      <c r="L411" s="576"/>
      <c r="M411" s="576"/>
      <c r="N411" s="576"/>
      <c r="Q411" s="225"/>
      <c r="R411" s="225"/>
    </row>
    <row r="412" spans="1:18" ht="18.600000000000001" customHeight="1" thickBot="1" x14ac:dyDescent="0.3">
      <c r="A412" s="842"/>
      <c r="B412" s="840"/>
      <c r="C412" s="718"/>
      <c r="D412" s="651"/>
      <c r="E412" s="651"/>
      <c r="F412" s="663"/>
      <c r="G412" s="259">
        <v>2028</v>
      </c>
      <c r="H412" s="332">
        <f>N407</f>
        <v>574345.58794979053</v>
      </c>
      <c r="I412" s="570"/>
      <c r="J412" s="589"/>
      <c r="K412" s="589"/>
      <c r="L412" s="577"/>
      <c r="M412" s="577"/>
      <c r="N412" s="577"/>
      <c r="Q412" s="225"/>
      <c r="R412" s="225"/>
    </row>
    <row r="413" spans="1:18" ht="33.75" customHeight="1" thickBot="1" x14ac:dyDescent="0.3">
      <c r="A413" s="842"/>
      <c r="B413" s="840"/>
      <c r="C413" s="843" t="s">
        <v>252</v>
      </c>
      <c r="D413" s="650">
        <v>2025</v>
      </c>
      <c r="E413" s="844" t="s">
        <v>253</v>
      </c>
      <c r="F413" s="650" t="s">
        <v>8</v>
      </c>
      <c r="G413" s="74" t="s">
        <v>9</v>
      </c>
      <c r="H413" s="432">
        <v>230793.5</v>
      </c>
      <c r="I413" s="174" t="s">
        <v>62</v>
      </c>
      <c r="J413" s="431"/>
      <c r="K413" s="485">
        <v>230793.5</v>
      </c>
      <c r="L413" s="431"/>
      <c r="M413" s="431"/>
      <c r="N413" s="431"/>
      <c r="Q413" s="225"/>
      <c r="R413" s="225"/>
    </row>
    <row r="414" spans="1:18" ht="34.5" customHeight="1" thickBot="1" x14ac:dyDescent="0.3">
      <c r="A414" s="842"/>
      <c r="B414" s="840"/>
      <c r="C414" s="843"/>
      <c r="D414" s="573"/>
      <c r="E414" s="844"/>
      <c r="F414" s="573"/>
      <c r="G414" s="473">
        <v>2025</v>
      </c>
      <c r="H414" s="475">
        <f>H413</f>
        <v>230793.5</v>
      </c>
      <c r="I414" s="528" t="s">
        <v>278</v>
      </c>
      <c r="J414" s="483"/>
      <c r="K414" s="480">
        <v>62</v>
      </c>
      <c r="L414" s="480"/>
      <c r="M414" s="480"/>
      <c r="N414" s="433"/>
      <c r="Q414" s="225"/>
      <c r="R414" s="225"/>
    </row>
    <row r="415" spans="1:18" ht="38.25" customHeight="1" thickBot="1" x14ac:dyDescent="0.3">
      <c r="A415" s="842"/>
      <c r="B415" s="840"/>
      <c r="C415" s="843"/>
      <c r="D415" s="573"/>
      <c r="E415" s="844"/>
      <c r="F415" s="573"/>
      <c r="G415" s="474"/>
      <c r="H415" s="476"/>
      <c r="I415" s="428" t="s">
        <v>272</v>
      </c>
      <c r="J415" s="296"/>
      <c r="K415" s="484">
        <v>3722.48</v>
      </c>
      <c r="L415" s="482"/>
      <c r="M415" s="482"/>
      <c r="N415" s="480"/>
      <c r="Q415" s="225"/>
      <c r="R415" s="225"/>
    </row>
    <row r="416" spans="1:18" ht="55.5" customHeight="1" thickBot="1" x14ac:dyDescent="0.3">
      <c r="A416" s="842"/>
      <c r="B416" s="840"/>
      <c r="C416" s="843"/>
      <c r="D416" s="573"/>
      <c r="E416" s="844"/>
      <c r="F416" s="573"/>
      <c r="G416" s="429"/>
      <c r="H416" s="332"/>
      <c r="I416" s="477" t="s">
        <v>279</v>
      </c>
      <c r="J416" s="441"/>
      <c r="K416" s="478">
        <v>1</v>
      </c>
      <c r="L416" s="479"/>
      <c r="M416" s="479"/>
      <c r="N416" s="481"/>
      <c r="Q416" s="225"/>
      <c r="R416" s="225"/>
    </row>
    <row r="417" spans="1:18" ht="29.25" customHeight="1" thickBot="1" x14ac:dyDescent="0.3">
      <c r="A417" s="842"/>
      <c r="B417" s="840"/>
      <c r="C417" s="823" t="s">
        <v>254</v>
      </c>
      <c r="D417" s="650">
        <v>2024</v>
      </c>
      <c r="E417" s="574" t="s">
        <v>219</v>
      </c>
      <c r="F417" s="650" t="s">
        <v>8</v>
      </c>
      <c r="G417" s="74" t="s">
        <v>9</v>
      </c>
      <c r="H417" s="333">
        <f>J417</f>
        <v>176671.73</v>
      </c>
      <c r="I417" s="174" t="s">
        <v>62</v>
      </c>
      <c r="J417" s="224">
        <v>176671.73</v>
      </c>
      <c r="K417" s="184"/>
      <c r="L417" s="184"/>
      <c r="M417" s="184"/>
      <c r="N417" s="184"/>
      <c r="Q417" s="225"/>
      <c r="R417" s="225"/>
    </row>
    <row r="418" spans="1:18" ht="33.75" customHeight="1" thickBot="1" x14ac:dyDescent="0.3">
      <c r="A418" s="842"/>
      <c r="B418" s="840"/>
      <c r="C418" s="823"/>
      <c r="D418" s="573"/>
      <c r="E418" s="574"/>
      <c r="F418" s="573"/>
      <c r="G418" s="189">
        <v>2024</v>
      </c>
      <c r="H418" s="334">
        <f>J417</f>
        <v>176671.73</v>
      </c>
      <c r="I418" s="295" t="s">
        <v>18</v>
      </c>
      <c r="J418" s="320">
        <v>580687</v>
      </c>
      <c r="K418" s="185"/>
      <c r="L418" s="185"/>
      <c r="M418" s="185"/>
      <c r="N418" s="185"/>
      <c r="Q418" s="225"/>
      <c r="R418" s="225"/>
    </row>
    <row r="419" spans="1:18" ht="30.75" customHeight="1" thickBot="1" x14ac:dyDescent="0.3">
      <c r="A419" s="842"/>
      <c r="B419" s="840"/>
      <c r="C419" s="823"/>
      <c r="D419" s="573"/>
      <c r="E419" s="574"/>
      <c r="F419" s="573"/>
      <c r="G419" s="199"/>
      <c r="H419" s="266"/>
      <c r="I419" s="288" t="s">
        <v>19</v>
      </c>
      <c r="J419" s="294">
        <v>304.25</v>
      </c>
      <c r="K419" s="186"/>
      <c r="L419" s="186"/>
      <c r="M419" s="187"/>
      <c r="N419" s="164"/>
      <c r="Q419" s="452"/>
      <c r="R419" s="225"/>
    </row>
    <row r="420" spans="1:18" ht="18.600000000000001" customHeight="1" thickBot="1" x14ac:dyDescent="0.3">
      <c r="A420" s="842"/>
      <c r="B420" s="840"/>
      <c r="C420" s="823"/>
      <c r="D420" s="573"/>
      <c r="E420" s="574"/>
      <c r="F420" s="573"/>
      <c r="G420" s="199"/>
      <c r="H420" s="266"/>
      <c r="I420" s="568" t="s">
        <v>169</v>
      </c>
      <c r="J420" s="582">
        <v>1</v>
      </c>
      <c r="K420" s="589"/>
      <c r="L420" s="583"/>
      <c r="M420" s="583"/>
      <c r="N420" s="730"/>
      <c r="Q420" s="225"/>
      <c r="R420" s="225"/>
    </row>
    <row r="421" spans="1:18" ht="18.600000000000001" customHeight="1" thickBot="1" x14ac:dyDescent="0.3">
      <c r="A421" s="842"/>
      <c r="B421" s="840"/>
      <c r="C421" s="823"/>
      <c r="D421" s="573"/>
      <c r="E421" s="574"/>
      <c r="F421" s="573"/>
      <c r="G421" s="199"/>
      <c r="H421" s="266"/>
      <c r="I421" s="569"/>
      <c r="J421" s="582"/>
      <c r="K421" s="728"/>
      <c r="L421" s="729"/>
      <c r="M421" s="729"/>
      <c r="N421" s="729"/>
      <c r="Q421" s="225"/>
      <c r="R421" s="225"/>
    </row>
    <row r="422" spans="1:18" ht="18.600000000000001" customHeight="1" thickBot="1" x14ac:dyDescent="0.3">
      <c r="A422" s="842"/>
      <c r="B422" s="840"/>
      <c r="C422" s="823"/>
      <c r="D422" s="651"/>
      <c r="E422" s="574"/>
      <c r="F422" s="711"/>
      <c r="G422" s="259"/>
      <c r="H422" s="266"/>
      <c r="I422" s="570"/>
      <c r="J422" s="583"/>
      <c r="K422" s="728"/>
      <c r="L422" s="729"/>
      <c r="M422" s="729"/>
      <c r="N422" s="729"/>
      <c r="Q422" s="228"/>
      <c r="R422" s="225"/>
    </row>
    <row r="423" spans="1:18" ht="35.25" customHeight="1" thickBot="1" x14ac:dyDescent="0.3">
      <c r="A423" s="842"/>
      <c r="B423" s="840"/>
      <c r="C423" s="669" t="s">
        <v>282</v>
      </c>
      <c r="D423" s="628" t="s">
        <v>7</v>
      </c>
      <c r="E423" s="714" t="s">
        <v>59</v>
      </c>
      <c r="F423" s="715" t="s">
        <v>8</v>
      </c>
      <c r="G423" s="248" t="s">
        <v>9</v>
      </c>
      <c r="H423" s="209">
        <f>H424+H425+H426+H427+H428</f>
        <v>2596346.2400000002</v>
      </c>
      <c r="I423" s="321" t="s">
        <v>63</v>
      </c>
      <c r="J423" s="327">
        <v>1298173.1200000001</v>
      </c>
      <c r="K423" s="324">
        <f>1298173.12</f>
        <v>1298173.1200000001</v>
      </c>
      <c r="L423" s="180"/>
      <c r="M423" s="180"/>
      <c r="N423" s="180"/>
      <c r="Q423" s="225"/>
      <c r="R423" s="225"/>
    </row>
    <row r="424" spans="1:18" ht="187.5" customHeight="1" thickBot="1" x14ac:dyDescent="0.3">
      <c r="A424" s="842"/>
      <c r="B424" s="840"/>
      <c r="C424" s="670"/>
      <c r="D424" s="629"/>
      <c r="E424" s="632"/>
      <c r="F424" s="629"/>
      <c r="G424" s="389">
        <v>2024</v>
      </c>
      <c r="H424" s="210">
        <f>J423</f>
        <v>1298173.1200000001</v>
      </c>
      <c r="I424" s="322" t="s">
        <v>198</v>
      </c>
      <c r="J424" s="328">
        <v>6832</v>
      </c>
      <c r="K424" s="325">
        <v>7720</v>
      </c>
      <c r="L424" s="179"/>
      <c r="M424" s="179"/>
      <c r="N424" s="179"/>
      <c r="Q424" s="160"/>
      <c r="R424" s="225"/>
    </row>
    <row r="425" spans="1:18" ht="186" customHeight="1" thickBot="1" x14ac:dyDescent="0.3">
      <c r="A425" s="842"/>
      <c r="B425" s="840"/>
      <c r="C425" s="670"/>
      <c r="D425" s="629"/>
      <c r="E425" s="632"/>
      <c r="F425" s="632"/>
      <c r="G425" s="199">
        <v>2025</v>
      </c>
      <c r="H425" s="143">
        <f>K423</f>
        <v>1298173.1200000001</v>
      </c>
      <c r="I425" s="323" t="s">
        <v>201</v>
      </c>
      <c r="J425" s="329">
        <v>10389</v>
      </c>
      <c r="K425" s="326">
        <v>11890</v>
      </c>
      <c r="L425" s="125"/>
      <c r="M425" s="343"/>
      <c r="N425" s="326"/>
      <c r="Q425" s="160"/>
      <c r="R425" s="225"/>
    </row>
    <row r="426" spans="1:18" ht="106.5" customHeight="1" thickBot="1" x14ac:dyDescent="0.3">
      <c r="A426" s="842"/>
      <c r="B426" s="840"/>
      <c r="C426" s="670"/>
      <c r="D426" s="629"/>
      <c r="E426" s="632"/>
      <c r="F426" s="629"/>
      <c r="G426" s="198"/>
      <c r="H426" s="143"/>
      <c r="I426" s="323" t="s">
        <v>200</v>
      </c>
      <c r="J426" s="326">
        <v>225</v>
      </c>
      <c r="K426" s="326">
        <v>260</v>
      </c>
      <c r="L426" s="125"/>
      <c r="M426" s="125"/>
      <c r="N426" s="125"/>
      <c r="Q426" s="339"/>
      <c r="R426" s="225"/>
    </row>
    <row r="427" spans="1:18" ht="107.25" customHeight="1" thickBot="1" x14ac:dyDescent="0.3">
      <c r="A427" s="842"/>
      <c r="B427" s="840"/>
      <c r="C427" s="670"/>
      <c r="D427" s="629"/>
      <c r="E427" s="632"/>
      <c r="F427" s="629"/>
      <c r="G427" s="340"/>
      <c r="H427" s="143"/>
      <c r="I427" s="341" t="s">
        <v>199</v>
      </c>
      <c r="J427" s="326">
        <v>90</v>
      </c>
      <c r="K427" s="326">
        <v>110</v>
      </c>
      <c r="L427" s="125"/>
      <c r="M427" s="125"/>
      <c r="N427" s="125"/>
      <c r="Q427" s="225"/>
      <c r="R427" s="225"/>
    </row>
    <row r="428" spans="1:18" ht="86.25" customHeight="1" thickBot="1" x14ac:dyDescent="0.3">
      <c r="A428" s="842"/>
      <c r="B428" s="840"/>
      <c r="C428" s="670"/>
      <c r="D428" s="629"/>
      <c r="E428" s="632"/>
      <c r="F428" s="629"/>
      <c r="G428" s="217"/>
      <c r="H428" s="388"/>
      <c r="I428" s="470" t="s">
        <v>175</v>
      </c>
      <c r="J428" s="434">
        <v>6230</v>
      </c>
      <c r="K428" s="329">
        <v>8045</v>
      </c>
      <c r="L428" s="329"/>
      <c r="M428" s="329"/>
      <c r="N428" s="436"/>
      <c r="Q428" s="225"/>
      <c r="R428" s="225"/>
    </row>
    <row r="429" spans="1:18" ht="60.75" customHeight="1" thickBot="1" x14ac:dyDescent="0.3">
      <c r="A429" s="842"/>
      <c r="B429" s="840"/>
      <c r="C429" s="670"/>
      <c r="D429" s="629"/>
      <c r="E429" s="632"/>
      <c r="F429" s="629"/>
      <c r="G429" s="199"/>
      <c r="H429" s="136"/>
      <c r="I429" s="420" t="s">
        <v>223</v>
      </c>
      <c r="J429" s="164"/>
      <c r="K429" s="430">
        <v>10</v>
      </c>
      <c r="L429" s="435"/>
      <c r="M429" s="435"/>
      <c r="N429" s="186"/>
      <c r="Q429" s="225"/>
      <c r="R429" s="225"/>
    </row>
    <row r="430" spans="1:18" ht="56.25" customHeight="1" thickBot="1" x14ac:dyDescent="0.3">
      <c r="A430" s="842"/>
      <c r="B430" s="840"/>
      <c r="C430" s="670"/>
      <c r="D430" s="629"/>
      <c r="E430" s="632"/>
      <c r="F430" s="629"/>
      <c r="G430" s="472"/>
      <c r="H430" s="437"/>
      <c r="I430" s="420" t="s">
        <v>224</v>
      </c>
      <c r="J430" s="164"/>
      <c r="K430" s="415">
        <v>10</v>
      </c>
      <c r="L430" s="416"/>
      <c r="M430" s="416"/>
      <c r="N430" s="416"/>
      <c r="Q430" s="225"/>
      <c r="R430" s="225"/>
    </row>
    <row r="431" spans="1:18" ht="215.25" customHeight="1" thickBot="1" x14ac:dyDescent="0.3">
      <c r="A431" s="842"/>
      <c r="B431" s="840"/>
      <c r="C431" s="449" t="s">
        <v>281</v>
      </c>
      <c r="D431" s="629"/>
      <c r="E431" s="632"/>
      <c r="F431" s="629"/>
      <c r="G431" s="260"/>
      <c r="H431" s="143"/>
      <c r="I431" s="471" t="s">
        <v>225</v>
      </c>
      <c r="J431" s="196">
        <v>5000</v>
      </c>
      <c r="K431" s="196">
        <v>5000</v>
      </c>
      <c r="L431" s="196"/>
      <c r="M431" s="196"/>
      <c r="N431" s="196"/>
      <c r="Q431" s="225"/>
      <c r="R431" s="225"/>
    </row>
    <row r="432" spans="1:18" ht="205.5" customHeight="1" thickBot="1" x14ac:dyDescent="0.3">
      <c r="A432" s="842"/>
      <c r="B432" s="840"/>
      <c r="C432" s="449"/>
      <c r="D432" s="629"/>
      <c r="E432" s="632"/>
      <c r="F432" s="629"/>
      <c r="G432" s="260"/>
      <c r="H432" s="143"/>
      <c r="I432" s="419" t="s">
        <v>202</v>
      </c>
      <c r="J432" s="362">
        <v>4000</v>
      </c>
      <c r="K432" s="195">
        <v>4000</v>
      </c>
      <c r="L432" s="3"/>
      <c r="M432" s="3"/>
      <c r="N432" s="3"/>
      <c r="Q432" s="225"/>
      <c r="R432" s="225"/>
    </row>
    <row r="433" spans="1:18" ht="117.75" customHeight="1" thickBot="1" x14ac:dyDescent="0.3">
      <c r="A433" s="842"/>
      <c r="B433" s="840"/>
      <c r="C433" s="449"/>
      <c r="D433" s="629"/>
      <c r="E433" s="632"/>
      <c r="F433" s="629"/>
      <c r="G433" s="260"/>
      <c r="H433" s="143"/>
      <c r="I433" s="420" t="s">
        <v>203</v>
      </c>
      <c r="J433" s="196">
        <v>17000</v>
      </c>
      <c r="K433" s="195">
        <v>17000</v>
      </c>
      <c r="L433" s="3"/>
      <c r="M433" s="3"/>
      <c r="N433" s="3"/>
      <c r="Q433" s="225"/>
      <c r="R433" s="225"/>
    </row>
    <row r="434" spans="1:18" ht="123.75" customHeight="1" thickBot="1" x14ac:dyDescent="0.3">
      <c r="A434" s="842"/>
      <c r="B434" s="840"/>
      <c r="C434" s="449"/>
      <c r="D434" s="629"/>
      <c r="E434" s="632"/>
      <c r="F434" s="629"/>
      <c r="G434" s="262"/>
      <c r="H434" s="267"/>
      <c r="I434" s="417" t="s">
        <v>275</v>
      </c>
      <c r="J434" s="361">
        <v>12000</v>
      </c>
      <c r="K434" s="195">
        <v>12000</v>
      </c>
      <c r="L434" s="3"/>
      <c r="M434" s="3"/>
      <c r="N434" s="3"/>
      <c r="Q434" s="225"/>
      <c r="R434" s="225"/>
    </row>
    <row r="435" spans="1:18" ht="104.25" customHeight="1" thickBot="1" x14ac:dyDescent="0.3">
      <c r="A435" s="842"/>
      <c r="B435" s="840"/>
      <c r="C435" s="449"/>
      <c r="D435" s="629"/>
      <c r="E435" s="632"/>
      <c r="F435" s="629"/>
      <c r="G435" s="261"/>
      <c r="H435" s="344"/>
      <c r="I435" s="418" t="s">
        <v>176</v>
      </c>
      <c r="J435" s="196">
        <v>2000</v>
      </c>
      <c r="K435" s="363">
        <v>3000</v>
      </c>
      <c r="L435" s="421"/>
      <c r="M435" s="421"/>
      <c r="N435" s="421"/>
      <c r="Q435" s="225"/>
      <c r="R435" s="225"/>
    </row>
    <row r="436" spans="1:18" ht="91.5" customHeight="1" thickBot="1" x14ac:dyDescent="0.3">
      <c r="A436" s="842"/>
      <c r="B436" s="840"/>
      <c r="C436" s="449"/>
      <c r="D436" s="629"/>
      <c r="E436" s="632"/>
      <c r="F436" s="629"/>
      <c r="G436" s="440"/>
      <c r="H436" s="438"/>
      <c r="I436" s="422" t="s">
        <v>273</v>
      </c>
      <c r="J436" s="503"/>
      <c r="K436" s="196">
        <v>50000</v>
      </c>
      <c r="L436" s="421"/>
      <c r="M436" s="421"/>
      <c r="N436" s="421"/>
      <c r="Q436" s="225"/>
      <c r="R436" s="225"/>
    </row>
    <row r="437" spans="1:18" ht="92.25" customHeight="1" thickBot="1" x14ac:dyDescent="0.3">
      <c r="A437" s="842"/>
      <c r="B437" s="840"/>
      <c r="C437" s="449"/>
      <c r="D437" s="629"/>
      <c r="E437" s="632"/>
      <c r="F437" s="629"/>
      <c r="G437" s="261"/>
      <c r="H437" s="145"/>
      <c r="I437" s="420" t="s">
        <v>274</v>
      </c>
      <c r="J437" s="294"/>
      <c r="K437" s="196">
        <v>20000</v>
      </c>
      <c r="L437" s="421"/>
      <c r="M437" s="421"/>
      <c r="N437" s="421"/>
      <c r="Q437" s="225"/>
      <c r="R437" s="225"/>
    </row>
    <row r="438" spans="1:18" ht="45.75" customHeight="1" thickBot="1" x14ac:dyDescent="0.3">
      <c r="A438" s="842"/>
      <c r="B438" s="840"/>
      <c r="C438" s="449"/>
      <c r="D438" s="630"/>
      <c r="E438" s="632"/>
      <c r="F438" s="629"/>
      <c r="G438" s="262"/>
      <c r="H438" s="145"/>
      <c r="I438" s="502" t="s">
        <v>177</v>
      </c>
      <c r="J438" s="507">
        <v>1</v>
      </c>
      <c r="K438" s="508">
        <v>1</v>
      </c>
      <c r="L438" s="443"/>
      <c r="M438" s="55"/>
      <c r="N438" s="55"/>
      <c r="Q438" s="225"/>
      <c r="R438" s="225"/>
    </row>
    <row r="439" spans="1:18" ht="45.75" customHeight="1" thickBot="1" x14ac:dyDescent="0.3">
      <c r="A439" s="842"/>
      <c r="B439" s="840"/>
      <c r="C439" s="461"/>
      <c r="D439" s="628" t="s">
        <v>213</v>
      </c>
      <c r="E439" s="837" t="s">
        <v>59</v>
      </c>
      <c r="F439" s="462"/>
      <c r="G439" s="248" t="s">
        <v>9</v>
      </c>
      <c r="H439" s="209">
        <f>L439+M439+N439</f>
        <v>3894519.3600000003</v>
      </c>
      <c r="I439" s="454" t="s">
        <v>63</v>
      </c>
      <c r="J439" s="504"/>
      <c r="K439" s="505"/>
      <c r="L439" s="324">
        <f>1298173.12</f>
        <v>1298173.1200000001</v>
      </c>
      <c r="M439" s="180">
        <f>L439</f>
        <v>1298173.1200000001</v>
      </c>
      <c r="N439" s="180">
        <f>M439</f>
        <v>1298173.1200000001</v>
      </c>
      <c r="Q439" s="225"/>
      <c r="R439" s="225"/>
    </row>
    <row r="440" spans="1:18" ht="215.25" customHeight="1" thickBot="1" x14ac:dyDescent="0.3">
      <c r="A440" s="842"/>
      <c r="B440" s="840"/>
      <c r="C440" s="453"/>
      <c r="D440" s="629"/>
      <c r="E440" s="837"/>
      <c r="F440" s="467" t="s">
        <v>8</v>
      </c>
      <c r="G440" s="261">
        <v>2026</v>
      </c>
      <c r="H440" s="267">
        <f>L439</f>
        <v>1298173.1200000001</v>
      </c>
      <c r="I440" s="455" t="s">
        <v>198</v>
      </c>
      <c r="J440" s="506"/>
      <c r="K440" s="506"/>
      <c r="L440" s="509">
        <f>3607+360+140+32+56+12+82-140</f>
        <v>4149</v>
      </c>
      <c r="M440" s="179">
        <f>4289-140</f>
        <v>4149</v>
      </c>
      <c r="N440" s="179">
        <f>4289-140</f>
        <v>4149</v>
      </c>
      <c r="Q440" s="225"/>
      <c r="R440" s="225"/>
    </row>
    <row r="441" spans="1:18" ht="180" customHeight="1" thickBot="1" x14ac:dyDescent="0.3">
      <c r="A441" s="842"/>
      <c r="B441" s="840"/>
      <c r="C441" s="453"/>
      <c r="D441" s="629"/>
      <c r="E441" s="837"/>
      <c r="F441" s="442"/>
      <c r="G441" s="260">
        <v>2027</v>
      </c>
      <c r="H441" s="143">
        <f>M439</f>
        <v>1298173.1200000001</v>
      </c>
      <c r="I441" s="323" t="s">
        <v>201</v>
      </c>
      <c r="J441" s="489"/>
      <c r="K441" s="510"/>
      <c r="L441" s="329">
        <v>6836</v>
      </c>
      <c r="M441" s="343">
        <v>6836</v>
      </c>
      <c r="N441" s="326">
        <v>6836</v>
      </c>
      <c r="Q441" s="225"/>
      <c r="R441" s="225"/>
    </row>
    <row r="442" spans="1:18" ht="103.5" customHeight="1" thickBot="1" x14ac:dyDescent="0.3">
      <c r="A442" s="842"/>
      <c r="B442" s="840"/>
      <c r="C442" s="453"/>
      <c r="D442" s="629"/>
      <c r="E442" s="837"/>
      <c r="F442" s="467"/>
      <c r="G442" s="500">
        <v>2028</v>
      </c>
      <c r="H442" s="501">
        <f>N439</f>
        <v>1298173.1200000001</v>
      </c>
      <c r="I442" s="323" t="s">
        <v>200</v>
      </c>
      <c r="J442" s="296"/>
      <c r="K442" s="300"/>
      <c r="L442" s="329">
        <v>260</v>
      </c>
      <c r="M442" s="125">
        <v>260</v>
      </c>
      <c r="N442" s="125">
        <v>260</v>
      </c>
      <c r="Q442" s="225"/>
      <c r="R442" s="225"/>
    </row>
    <row r="443" spans="1:18" ht="88.5" customHeight="1" thickBot="1" x14ac:dyDescent="0.3">
      <c r="A443" s="842"/>
      <c r="B443" s="840"/>
      <c r="C443" s="836" t="s">
        <v>284</v>
      </c>
      <c r="D443" s="629"/>
      <c r="E443" s="837"/>
      <c r="F443" s="518"/>
      <c r="G443" s="260"/>
      <c r="H443" s="250"/>
      <c r="I443" s="323" t="s">
        <v>199</v>
      </c>
      <c r="J443" s="489"/>
      <c r="K443" s="510"/>
      <c r="L443" s="329">
        <v>115</v>
      </c>
      <c r="M443" s="125">
        <v>115</v>
      </c>
      <c r="N443" s="125">
        <v>115</v>
      </c>
      <c r="Q443" s="225"/>
      <c r="R443" s="225"/>
    </row>
    <row r="444" spans="1:18" ht="88.5" customHeight="1" thickBot="1" x14ac:dyDescent="0.3">
      <c r="A444" s="842"/>
      <c r="B444" s="840"/>
      <c r="C444" s="836"/>
      <c r="D444" s="629"/>
      <c r="E444" s="837"/>
      <c r="F444" s="467"/>
      <c r="G444" s="469"/>
      <c r="H444" s="143"/>
      <c r="I444" s="470" t="s">
        <v>277</v>
      </c>
      <c r="J444" s="489"/>
      <c r="K444" s="510"/>
      <c r="L444" s="329">
        <v>140</v>
      </c>
      <c r="M444" s="326">
        <v>140</v>
      </c>
      <c r="N444" s="436">
        <v>140</v>
      </c>
      <c r="Q444" s="225"/>
      <c r="R444" s="225"/>
    </row>
    <row r="445" spans="1:18" ht="64.5" customHeight="1" thickBot="1" x14ac:dyDescent="0.3">
      <c r="A445" s="842"/>
      <c r="B445" s="840"/>
      <c r="C445" s="836"/>
      <c r="D445" s="629"/>
      <c r="E445" s="837"/>
      <c r="F445" s="467"/>
      <c r="G445" s="511"/>
      <c r="H445" s="143"/>
      <c r="I445" s="470" t="s">
        <v>175</v>
      </c>
      <c r="J445" s="489"/>
      <c r="K445" s="296"/>
      <c r="L445" s="329">
        <v>5796</v>
      </c>
      <c r="M445" s="329">
        <v>5796</v>
      </c>
      <c r="N445" s="436">
        <v>5796</v>
      </c>
      <c r="Q445" s="225"/>
      <c r="R445" s="225"/>
    </row>
    <row r="446" spans="1:18" ht="45.75" customHeight="1" thickBot="1" x14ac:dyDescent="0.3">
      <c r="A446" s="842"/>
      <c r="B446" s="840"/>
      <c r="C446" s="836"/>
      <c r="D446" s="629"/>
      <c r="E446" s="837"/>
      <c r="F446" s="467"/>
      <c r="G446" s="260"/>
      <c r="H446" s="143"/>
      <c r="I446" s="420" t="s">
        <v>223</v>
      </c>
      <c r="J446" s="296"/>
      <c r="K446" s="300"/>
      <c r="L446" s="186">
        <v>10</v>
      </c>
      <c r="M446" s="435">
        <v>10</v>
      </c>
      <c r="N446" s="186">
        <v>10</v>
      </c>
      <c r="Q446" s="225"/>
      <c r="R446" s="225"/>
    </row>
    <row r="447" spans="1:18" ht="62.25" customHeight="1" thickBot="1" x14ac:dyDescent="0.3">
      <c r="A447" s="842"/>
      <c r="B447" s="840"/>
      <c r="C447" s="836"/>
      <c r="D447" s="629"/>
      <c r="E447" s="837"/>
      <c r="F447" s="467"/>
      <c r="G447" s="262"/>
      <c r="H447" s="344"/>
      <c r="I447" s="417" t="s">
        <v>224</v>
      </c>
      <c r="J447" s="489"/>
      <c r="K447" s="296"/>
      <c r="L447" s="186">
        <v>10</v>
      </c>
      <c r="M447" s="416">
        <v>10</v>
      </c>
      <c r="N447" s="416">
        <v>10</v>
      </c>
      <c r="Q447" s="225"/>
      <c r="R447" s="225"/>
    </row>
    <row r="448" spans="1:18" ht="236.25" customHeight="1" thickBot="1" x14ac:dyDescent="0.3">
      <c r="A448" s="842"/>
      <c r="B448" s="840"/>
      <c r="C448" s="836"/>
      <c r="D448" s="629"/>
      <c r="E448" s="837"/>
      <c r="F448" s="467"/>
      <c r="G448" s="520"/>
      <c r="H448" s="519"/>
      <c r="I448" s="420" t="s">
        <v>225</v>
      </c>
      <c r="J448" s="489"/>
      <c r="K448" s="296"/>
      <c r="L448" s="195">
        <v>6000</v>
      </c>
      <c r="M448" s="196">
        <v>6000</v>
      </c>
      <c r="N448" s="196">
        <v>6000</v>
      </c>
      <c r="Q448" s="225"/>
      <c r="R448" s="225"/>
    </row>
    <row r="449" spans="1:18" ht="201.75" customHeight="1" thickBot="1" x14ac:dyDescent="0.3">
      <c r="A449" s="842"/>
      <c r="B449" s="840"/>
      <c r="C449" s="836"/>
      <c r="D449" s="629"/>
      <c r="E449" s="837"/>
      <c r="F449" s="467"/>
      <c r="G449" s="262"/>
      <c r="H449" s="145"/>
      <c r="I449" s="419" t="s">
        <v>202</v>
      </c>
      <c r="J449" s="489"/>
      <c r="K449" s="296"/>
      <c r="L449" s="196">
        <v>5000</v>
      </c>
      <c r="M449" s="3">
        <v>5000</v>
      </c>
      <c r="N449" s="3">
        <v>5000</v>
      </c>
      <c r="Q449" s="225"/>
      <c r="R449" s="225"/>
    </row>
    <row r="450" spans="1:18" ht="129" customHeight="1" thickBot="1" x14ac:dyDescent="0.3">
      <c r="A450" s="842"/>
      <c r="B450" s="840"/>
      <c r="C450" s="453"/>
      <c r="D450" s="629"/>
      <c r="E450" s="837"/>
      <c r="F450" s="467"/>
      <c r="G450" s="260"/>
      <c r="H450" s="143"/>
      <c r="I450" s="420" t="s">
        <v>203</v>
      </c>
      <c r="J450" s="296"/>
      <c r="K450" s="300"/>
      <c r="L450" s="196">
        <v>17000</v>
      </c>
      <c r="M450" s="3">
        <v>17000</v>
      </c>
      <c r="N450" s="3">
        <v>17000</v>
      </c>
      <c r="Q450" s="225"/>
      <c r="R450" s="225"/>
    </row>
    <row r="451" spans="1:18" ht="123.75" customHeight="1" thickBot="1" x14ac:dyDescent="0.3">
      <c r="A451" s="842"/>
      <c r="B451" s="840"/>
      <c r="C451" s="453"/>
      <c r="D451" s="629"/>
      <c r="E451" s="837"/>
      <c r="F451" s="467"/>
      <c r="G451" s="500"/>
      <c r="H451" s="501"/>
      <c r="I451" s="420" t="s">
        <v>204</v>
      </c>
      <c r="J451" s="489"/>
      <c r="K451" s="510"/>
      <c r="L451" s="196">
        <v>12000</v>
      </c>
      <c r="M451" s="3">
        <v>12000</v>
      </c>
      <c r="N451" s="3">
        <v>12000</v>
      </c>
      <c r="Q451" s="225"/>
      <c r="R451" s="225"/>
    </row>
    <row r="452" spans="1:18" ht="123.75" customHeight="1" thickBot="1" x14ac:dyDescent="0.3">
      <c r="A452" s="842"/>
      <c r="B452" s="840"/>
      <c r="C452" s="453"/>
      <c r="D452" s="629"/>
      <c r="E452" s="837"/>
      <c r="F452" s="467"/>
      <c r="G452" s="261"/>
      <c r="H452" s="344"/>
      <c r="I452" s="417" t="s">
        <v>276</v>
      </c>
      <c r="J452" s="489"/>
      <c r="K452" s="510"/>
      <c r="L452" s="196">
        <v>10000</v>
      </c>
      <c r="M452" s="421">
        <v>10000</v>
      </c>
      <c r="N452" s="421">
        <v>10000</v>
      </c>
      <c r="Q452" s="225"/>
      <c r="R452" s="225"/>
    </row>
    <row r="453" spans="1:18" ht="92.25" customHeight="1" thickBot="1" x14ac:dyDescent="0.3">
      <c r="A453" s="842"/>
      <c r="B453" s="840"/>
      <c r="C453" s="453"/>
      <c r="D453" s="629"/>
      <c r="E453" s="837"/>
      <c r="F453" s="467"/>
      <c r="G453" s="261"/>
      <c r="H453" s="143"/>
      <c r="I453" s="417" t="s">
        <v>176</v>
      </c>
      <c r="J453" s="489"/>
      <c r="K453" s="296"/>
      <c r="L453" s="196">
        <v>4000</v>
      </c>
      <c r="M453" s="421">
        <v>4000</v>
      </c>
      <c r="N453" s="421">
        <v>4000</v>
      </c>
      <c r="Q453" s="225"/>
      <c r="R453" s="225"/>
    </row>
    <row r="454" spans="1:18" ht="74.25" customHeight="1" thickBot="1" x14ac:dyDescent="0.3">
      <c r="A454" s="842"/>
      <c r="B454" s="840"/>
      <c r="C454" s="453"/>
      <c r="D454" s="629"/>
      <c r="E454" s="837"/>
      <c r="F454" s="467"/>
      <c r="G454" s="262"/>
      <c r="H454" s="210"/>
      <c r="I454" s="423" t="s">
        <v>273</v>
      </c>
      <c r="J454" s="510"/>
      <c r="K454" s="510"/>
      <c r="L454" s="196">
        <v>50000</v>
      </c>
      <c r="M454" s="421">
        <v>50000</v>
      </c>
      <c r="N454" s="421">
        <v>50000</v>
      </c>
      <c r="Q454" s="225"/>
      <c r="R454" s="225"/>
    </row>
    <row r="455" spans="1:18" ht="78.75" customHeight="1" thickBot="1" x14ac:dyDescent="0.3">
      <c r="A455" s="842"/>
      <c r="B455" s="840"/>
      <c r="C455" s="838"/>
      <c r="D455" s="629"/>
      <c r="E455" s="837"/>
      <c r="F455" s="467"/>
      <c r="G455" s="262"/>
      <c r="H455" s="210"/>
      <c r="I455" s="423" t="s">
        <v>274</v>
      </c>
      <c r="J455" s="510"/>
      <c r="K455" s="296"/>
      <c r="L455" s="446">
        <v>20000</v>
      </c>
      <c r="M455" s="421">
        <v>20000</v>
      </c>
      <c r="N455" s="421">
        <v>20000</v>
      </c>
      <c r="Q455" s="225"/>
      <c r="R455" s="225"/>
    </row>
    <row r="456" spans="1:18" ht="60" customHeight="1" thickBot="1" x14ac:dyDescent="0.3">
      <c r="A456" s="842"/>
      <c r="B456" s="840"/>
      <c r="C456" s="839"/>
      <c r="D456" s="630"/>
      <c r="E456" s="837"/>
      <c r="F456" s="468"/>
      <c r="G456" s="439"/>
      <c r="H456" s="456"/>
      <c r="I456" s="451" t="s">
        <v>177</v>
      </c>
      <c r="J456" s="488"/>
      <c r="K456" s="448"/>
      <c r="L456" s="508">
        <v>1</v>
      </c>
      <c r="M456" s="498">
        <v>1</v>
      </c>
      <c r="N456" s="498">
        <v>1</v>
      </c>
      <c r="Q456" s="225"/>
      <c r="R456" s="225"/>
    </row>
    <row r="457" spans="1:18" ht="45.75" customHeight="1" thickBot="1" x14ac:dyDescent="0.3">
      <c r="A457" s="842"/>
      <c r="B457" s="840"/>
      <c r="C457" s="782" t="s">
        <v>283</v>
      </c>
      <c r="D457" s="573" t="s">
        <v>7</v>
      </c>
      <c r="E457" s="574" t="s">
        <v>220</v>
      </c>
      <c r="F457" s="629" t="s">
        <v>8</v>
      </c>
      <c r="G457" s="459" t="s">
        <v>9</v>
      </c>
      <c r="H457" s="450">
        <f>K457</f>
        <v>179640</v>
      </c>
      <c r="I457" s="457" t="s">
        <v>62</v>
      </c>
      <c r="J457" s="458"/>
      <c r="K457" s="15">
        <v>179640</v>
      </c>
      <c r="L457" s="460"/>
      <c r="M457" s="424"/>
      <c r="N457" s="424"/>
      <c r="Q457" s="225"/>
      <c r="R457" s="225"/>
    </row>
    <row r="458" spans="1:18" ht="45.75" customHeight="1" thickBot="1" x14ac:dyDescent="0.3">
      <c r="A458" s="842"/>
      <c r="B458" s="840"/>
      <c r="C458" s="782"/>
      <c r="D458" s="573"/>
      <c r="E458" s="574"/>
      <c r="F458" s="629"/>
      <c r="G458" s="263"/>
      <c r="H458" s="268"/>
      <c r="I458" s="425" t="s">
        <v>18</v>
      </c>
      <c r="J458" s="362"/>
      <c r="K458" s="364">
        <v>565992</v>
      </c>
      <c r="L458" s="166"/>
      <c r="M458" s="166"/>
      <c r="N458" s="166"/>
      <c r="Q458" s="225"/>
      <c r="R458" s="225"/>
    </row>
    <row r="459" spans="1:18" ht="45.75" customHeight="1" thickBot="1" x14ac:dyDescent="0.3">
      <c r="A459" s="842"/>
      <c r="B459" s="840"/>
      <c r="C459" s="782"/>
      <c r="D459" s="573"/>
      <c r="E459" s="574"/>
      <c r="F459" s="629"/>
      <c r="G459" s="199">
        <v>2025</v>
      </c>
      <c r="H459" s="269">
        <f>K457</f>
        <v>179640</v>
      </c>
      <c r="I459" s="499" t="s">
        <v>263</v>
      </c>
      <c r="J459" s="196"/>
      <c r="K459" s="195">
        <v>317.39</v>
      </c>
      <c r="L459" s="3"/>
      <c r="M459" s="3"/>
      <c r="N459" s="3"/>
      <c r="Q459" s="225"/>
      <c r="R459" s="225"/>
    </row>
    <row r="460" spans="1:18" ht="45.75" customHeight="1" thickBot="1" x14ac:dyDescent="0.3">
      <c r="A460" s="842"/>
      <c r="B460" s="840"/>
      <c r="C460" s="782"/>
      <c r="D460" s="573"/>
      <c r="E460" s="574"/>
      <c r="F460" s="629"/>
      <c r="G460" s="199"/>
      <c r="H460" s="264"/>
      <c r="I460" s="512" t="s">
        <v>169</v>
      </c>
      <c r="J460" s="196"/>
      <c r="K460" s="497">
        <v>1</v>
      </c>
      <c r="L460" s="3"/>
      <c r="M460" s="3"/>
      <c r="N460" s="3"/>
      <c r="Q460" s="225"/>
      <c r="R460" s="225"/>
    </row>
    <row r="461" spans="1:18" ht="18.75" customHeight="1" thickBot="1" x14ac:dyDescent="0.35">
      <c r="A461" s="270"/>
      <c r="B461" s="271"/>
      <c r="C461" s="272"/>
      <c r="D461" s="163"/>
      <c r="E461" s="163"/>
      <c r="F461" s="273" t="s">
        <v>9</v>
      </c>
      <c r="G461" s="182"/>
      <c r="H461" s="274">
        <f>J461+K461+L461+M461+N461</f>
        <v>74969561.060000002</v>
      </c>
      <c r="I461" s="490"/>
      <c r="J461" s="491">
        <v>12654915.74</v>
      </c>
      <c r="K461" s="492">
        <v>14099405.630000001</v>
      </c>
      <c r="L461" s="493">
        <v>15112683.869999999</v>
      </c>
      <c r="M461" s="494">
        <v>16050864.5</v>
      </c>
      <c r="N461" s="529">
        <v>17051691.32</v>
      </c>
      <c r="Q461" s="225"/>
      <c r="R461" s="225"/>
    </row>
    <row r="462" spans="1:18" ht="19.5" thickBot="1" x14ac:dyDescent="0.3">
      <c r="A462" s="129"/>
      <c r="B462" s="130"/>
      <c r="C462" s="131"/>
      <c r="D462" s="132"/>
      <c r="E462" s="132"/>
      <c r="F462" s="132"/>
      <c r="G462" s="133"/>
      <c r="H462" s="133"/>
      <c r="I462" s="463"/>
      <c r="J462" s="447"/>
      <c r="K462" s="464"/>
      <c r="L462" s="465"/>
      <c r="M462" s="466"/>
      <c r="N462" s="465"/>
      <c r="Q462" s="225"/>
      <c r="R462" s="225"/>
    </row>
    <row r="463" spans="1:18" x14ac:dyDescent="0.25">
      <c r="A463" s="384"/>
      <c r="B463" s="385"/>
      <c r="C463" s="356"/>
      <c r="D463" s="352"/>
      <c r="E463" s="352"/>
      <c r="F463" s="352"/>
      <c r="G463" s="386"/>
      <c r="H463" s="386"/>
      <c r="I463" s="387"/>
      <c r="J463" s="116"/>
      <c r="K463" s="119"/>
      <c r="L463" s="119"/>
      <c r="M463" s="119"/>
      <c r="N463" s="119"/>
      <c r="Q463" s="225"/>
      <c r="R463" s="225"/>
    </row>
    <row r="464" spans="1:18" ht="110.25" customHeight="1" x14ac:dyDescent="0.25">
      <c r="A464" s="134"/>
      <c r="B464" s="571" t="s">
        <v>257</v>
      </c>
      <c r="C464" s="572"/>
      <c r="D464" s="572"/>
      <c r="E464" s="572"/>
      <c r="F464" s="572"/>
      <c r="G464" s="572"/>
      <c r="H464" s="572"/>
      <c r="I464" s="10"/>
      <c r="J464" s="349"/>
      <c r="K464" s="349"/>
      <c r="L464" s="349"/>
      <c r="M464" s="349"/>
      <c r="N464" s="349"/>
      <c r="Q464" s="225"/>
      <c r="R464" s="225"/>
    </row>
    <row r="465" spans="1:18" x14ac:dyDescent="0.25">
      <c r="A465" s="713"/>
      <c r="B465" s="713"/>
      <c r="C465" s="713"/>
      <c r="D465" s="713"/>
      <c r="E465" s="713"/>
      <c r="F465" s="713"/>
      <c r="G465" s="713"/>
      <c r="H465" s="713"/>
      <c r="I465" s="713"/>
      <c r="J465" s="713"/>
      <c r="K465" s="713"/>
      <c r="L465" s="713"/>
      <c r="M465" s="713"/>
      <c r="N465" s="713"/>
      <c r="Q465" s="225"/>
      <c r="R465" s="225"/>
    </row>
    <row r="466" spans="1:18" ht="9" customHeight="1" thickBot="1" x14ac:dyDescent="0.3">
      <c r="A466" s="134"/>
      <c r="B466" s="128"/>
      <c r="F466" s="6"/>
      <c r="G466" s="5"/>
      <c r="H466" s="5"/>
      <c r="I466" s="10"/>
      <c r="J466" s="116"/>
      <c r="K466" s="119"/>
      <c r="L466" s="119"/>
      <c r="M466" s="119"/>
      <c r="N466" s="119"/>
      <c r="Q466" s="225"/>
      <c r="R466" s="225"/>
    </row>
    <row r="467" spans="1:18" ht="18.600000000000001" customHeight="1" thickBot="1" x14ac:dyDescent="0.3">
      <c r="A467" s="719" t="s">
        <v>269</v>
      </c>
      <c r="B467" s="720"/>
      <c r="C467" s="720"/>
      <c r="D467" s="720"/>
      <c r="E467" s="721"/>
      <c r="F467" s="120">
        <v>2024</v>
      </c>
      <c r="G467" s="120"/>
      <c r="H467" s="350">
        <f>H424+H418+H408+H402+H396+H386+H380+H374+H368+H362+H356+H350+H344+H338+H332+H326+H320+H314+H308+H302+H296+H290+H284+H274+H268+H262+H256+H250+H244+H238+H232+H226+H220+H214+H208+H202+H196+H190+H184+H178+H172+H166+H160+H154+H148+H142+H136+H130+H124+H118+H112+H106+H100+H94+H88+H82+H76+H70+H60+H54+H42+H24+H12</f>
        <v>11048318.080000002</v>
      </c>
      <c r="I467" s="10"/>
      <c r="J467" s="330"/>
      <c r="K467" s="181"/>
      <c r="L467" s="348"/>
      <c r="M467" s="348"/>
      <c r="N467" s="348"/>
      <c r="Q467" s="225"/>
      <c r="R467" s="225"/>
    </row>
    <row r="468" spans="1:18" ht="19.5" thickBot="1" x14ac:dyDescent="0.3">
      <c r="A468" s="722"/>
      <c r="B468" s="723"/>
      <c r="C468" s="723"/>
      <c r="D468" s="723"/>
      <c r="E468" s="724"/>
      <c r="F468" s="121">
        <v>2025</v>
      </c>
      <c r="G468" s="121"/>
      <c r="H468" s="496">
        <f>H13+H25+H43+H55+H61+H71+H77+H83+H89+H95+H101+H107+H113+H119+H125+H131+H137+H143+H149+H155+H161+H167+H173+H179+H185+H191+H197+H203+H209+H215+H221+H227+H233+H239+H245+H251+H257+H263+H269+H275+H285+H291+H297+H303+H309+H315+H321+H327+H333+H339+H345+H351+H357+H363+H369+H375+H381+H387+H397+H403+H409+H414+H425+H459</f>
        <v>12442673.670000006</v>
      </c>
      <c r="I468" s="10"/>
      <c r="J468" s="330"/>
      <c r="K468" s="119"/>
      <c r="L468" s="119"/>
      <c r="M468" s="119"/>
      <c r="N468" s="119"/>
      <c r="Q468" s="225"/>
      <c r="R468" s="225"/>
    </row>
    <row r="469" spans="1:18" ht="19.5" thickBot="1" x14ac:dyDescent="0.3">
      <c r="A469" s="722"/>
      <c r="B469" s="723"/>
      <c r="C469" s="723"/>
      <c r="D469" s="723"/>
      <c r="E469" s="724"/>
      <c r="F469" s="121">
        <v>2026</v>
      </c>
      <c r="G469" s="121"/>
      <c r="H469" s="350">
        <f>H14+H26+H44+H62+H72+H84+H90+H96+H102+H108+H114+H138+H144+H150+H156+H162+H168+H174+H180+H186+H192+H198+H204+H210+H216+H222+H228+H234+H240+H246+H252+H258+H264+H270+H276+H286+H292+H298+H304+H310+H316+H322+H328+H334+H340+H346+H352+H358+H364+H370+H376+H382+H388+H392+H398+H410+L439</f>
        <v>13250517.153310005</v>
      </c>
      <c r="I469" s="10"/>
      <c r="J469" s="330"/>
      <c r="K469" s="119"/>
      <c r="L469" s="119"/>
      <c r="M469" s="119"/>
      <c r="N469" s="119"/>
      <c r="Q469" s="225"/>
      <c r="R469" s="225"/>
    </row>
    <row r="470" spans="1:18" ht="19.5" thickBot="1" x14ac:dyDescent="0.3">
      <c r="A470" s="722"/>
      <c r="B470" s="723"/>
      <c r="C470" s="723"/>
      <c r="D470" s="723"/>
      <c r="E470" s="724"/>
      <c r="F470" s="121">
        <v>2027</v>
      </c>
      <c r="G470" s="121"/>
      <c r="H470" s="350">
        <f>H15+H27+H45+H63+H73+H85+H91+H97+H103+H109+H115+H139+H145+H151+H157+H163+H169+H175+H181+H187+H193+H199+H205+H211+H217+H223+H229+H235+H241+H247+H253+H259+H265+H271+H277+H287+H293+H299+H305+H311+H317+H323+H329+H335+H341+H347+H353+H359+H365+H371+H377+H383+H389+H393+H399+H411+H441</f>
        <v>14043448.784160011</v>
      </c>
      <c r="I470" s="10"/>
      <c r="J470" s="330"/>
      <c r="K470" s="348"/>
      <c r="L470" s="119"/>
      <c r="M470" s="119"/>
      <c r="N470" s="119"/>
      <c r="Q470" s="225"/>
      <c r="R470" s="225"/>
    </row>
    <row r="471" spans="1:18" ht="19.5" thickBot="1" x14ac:dyDescent="0.3">
      <c r="A471" s="725"/>
      <c r="B471" s="726"/>
      <c r="C471" s="726"/>
      <c r="D471" s="726"/>
      <c r="E471" s="727"/>
      <c r="F471" s="121">
        <v>2028</v>
      </c>
      <c r="G471" s="121"/>
      <c r="H471" s="350">
        <v>14887697.16</v>
      </c>
      <c r="I471" s="10"/>
      <c r="J471" s="330"/>
      <c r="K471" s="119"/>
      <c r="L471" s="119"/>
      <c r="M471" s="119"/>
      <c r="N471" s="181"/>
      <c r="Q471" s="225"/>
      <c r="R471" s="225"/>
    </row>
    <row r="472" spans="1:18" ht="18.600000000000001" customHeight="1" thickBot="1" x14ac:dyDescent="0.3">
      <c r="A472" s="719" t="s">
        <v>270</v>
      </c>
      <c r="B472" s="720"/>
      <c r="C472" s="720"/>
      <c r="D472" s="720"/>
      <c r="E472" s="721"/>
      <c r="F472" s="120">
        <v>2024</v>
      </c>
      <c r="G472" s="120"/>
      <c r="H472" s="350">
        <f>H30+H48</f>
        <v>1606597.6600000001</v>
      </c>
      <c r="I472" s="10"/>
      <c r="J472" s="330"/>
      <c r="K472" s="348"/>
      <c r="L472" s="119"/>
      <c r="M472" s="119"/>
      <c r="N472" s="119"/>
      <c r="Q472" s="225"/>
      <c r="R472" s="225"/>
    </row>
    <row r="473" spans="1:18" ht="19.5" thickBot="1" x14ac:dyDescent="0.3">
      <c r="A473" s="722"/>
      <c r="B473" s="723"/>
      <c r="C473" s="723"/>
      <c r="D473" s="723"/>
      <c r="E473" s="724"/>
      <c r="F473" s="121">
        <v>2025</v>
      </c>
      <c r="G473" s="121"/>
      <c r="H473" s="496">
        <f>H31+H49</f>
        <v>1656731.96</v>
      </c>
      <c r="I473" s="10"/>
      <c r="J473" s="330"/>
      <c r="K473" s="119"/>
      <c r="L473" s="119"/>
      <c r="M473" s="119"/>
      <c r="N473" s="119"/>
      <c r="Q473" s="225"/>
      <c r="R473" s="225"/>
    </row>
    <row r="474" spans="1:18" ht="19.5" thickBot="1" x14ac:dyDescent="0.3">
      <c r="A474" s="722"/>
      <c r="B474" s="723"/>
      <c r="C474" s="723"/>
      <c r="D474" s="723"/>
      <c r="E474" s="724"/>
      <c r="F474" s="121">
        <v>2026</v>
      </c>
      <c r="G474" s="121"/>
      <c r="H474" s="350">
        <f>H32+H50</f>
        <v>1862166.72</v>
      </c>
      <c r="I474" s="122"/>
      <c r="J474" s="330"/>
      <c r="K474" s="122"/>
      <c r="L474" s="122"/>
      <c r="M474" s="122"/>
      <c r="N474" s="122"/>
      <c r="Q474" s="225"/>
      <c r="R474" s="225"/>
    </row>
    <row r="475" spans="1:18" ht="19.5" thickBot="1" x14ac:dyDescent="0.3">
      <c r="A475" s="722"/>
      <c r="B475" s="723"/>
      <c r="C475" s="723"/>
      <c r="D475" s="723"/>
      <c r="E475" s="724"/>
      <c r="F475" s="121">
        <v>2027</v>
      </c>
      <c r="G475" s="121"/>
      <c r="H475" s="350">
        <f>H33+H51</f>
        <v>2007415.7200000002</v>
      </c>
      <c r="I475" s="122"/>
      <c r="J475" s="330"/>
      <c r="K475" s="122"/>
      <c r="L475" s="122"/>
      <c r="M475" s="122"/>
      <c r="N475" s="122"/>
      <c r="Q475" s="225"/>
      <c r="R475" s="225"/>
    </row>
    <row r="476" spans="1:18" ht="18.600000000000001" customHeight="1" thickBot="1" x14ac:dyDescent="0.35">
      <c r="A476" s="725"/>
      <c r="B476" s="726"/>
      <c r="C476" s="726"/>
      <c r="D476" s="726"/>
      <c r="E476" s="727"/>
      <c r="F476" s="121">
        <v>2028</v>
      </c>
      <c r="G476" s="121"/>
      <c r="H476" s="350">
        <f>H34+H52</f>
        <v>2163994.156</v>
      </c>
      <c r="I476" s="152"/>
      <c r="J476" s="330"/>
      <c r="K476" s="152"/>
      <c r="L476" s="152"/>
      <c r="M476" s="152"/>
      <c r="N476" s="152"/>
      <c r="Q476" s="225"/>
      <c r="R476" s="225"/>
    </row>
    <row r="477" spans="1:18" x14ac:dyDescent="0.25">
      <c r="A477" s="4"/>
      <c r="B477" s="29"/>
      <c r="C477" s="29"/>
      <c r="D477" s="29" t="s">
        <v>178</v>
      </c>
      <c r="E477" s="29"/>
      <c r="F477" s="4"/>
      <c r="G477" s="4"/>
      <c r="H477" s="153">
        <f>SUM(H467:H476)</f>
        <v>74969561.063470021</v>
      </c>
      <c r="I477" s="527"/>
      <c r="J477" s="330"/>
      <c r="K477" s="527"/>
      <c r="L477" s="122"/>
      <c r="M477" s="122"/>
      <c r="N477" s="122"/>
      <c r="Q477" s="225"/>
      <c r="R477" s="225"/>
    </row>
    <row r="478" spans="1:18" x14ac:dyDescent="0.25">
      <c r="A478" s="4"/>
      <c r="B478" s="29"/>
      <c r="C478" s="29"/>
      <c r="D478" s="29"/>
      <c r="E478" s="29"/>
      <c r="F478" s="4"/>
      <c r="G478" s="4"/>
      <c r="H478" s="4"/>
      <c r="I478" s="122"/>
      <c r="J478" s="122"/>
      <c r="K478" s="122"/>
      <c r="L478" s="122"/>
      <c r="M478" s="122"/>
      <c r="N478" s="122"/>
      <c r="Q478" s="225"/>
      <c r="R478" s="225"/>
    </row>
    <row r="479" spans="1:18" x14ac:dyDescent="0.3">
      <c r="B479" s="780" t="s">
        <v>206</v>
      </c>
      <c r="C479" s="781"/>
      <c r="D479" s="781"/>
      <c r="E479" s="781"/>
      <c r="F479" s="781"/>
      <c r="G479" s="152" t="s">
        <v>211</v>
      </c>
      <c r="H479" s="152" t="s">
        <v>212</v>
      </c>
      <c r="I479" s="122"/>
      <c r="J479" s="347"/>
      <c r="K479" s="122"/>
      <c r="L479" s="122"/>
      <c r="M479" s="122"/>
      <c r="N479" s="122"/>
      <c r="Q479" s="225"/>
      <c r="R479" s="225"/>
    </row>
    <row r="480" spans="1:18" x14ac:dyDescent="0.25">
      <c r="I480" s="527"/>
      <c r="J480" s="122"/>
      <c r="K480" s="122"/>
      <c r="L480" s="122"/>
      <c r="M480" s="122"/>
      <c r="N480" s="122"/>
      <c r="Q480" s="225"/>
      <c r="R480" s="225"/>
    </row>
    <row r="481" spans="3:18" x14ac:dyDescent="0.25">
      <c r="I481" s="122"/>
      <c r="J481" s="122"/>
      <c r="K481" s="122"/>
      <c r="L481" s="122"/>
      <c r="M481" s="122"/>
      <c r="N481" s="122"/>
      <c r="Q481" s="225"/>
      <c r="R481" s="225"/>
    </row>
    <row r="482" spans="3:18" x14ac:dyDescent="0.25">
      <c r="Q482" s="225"/>
      <c r="R482" s="225"/>
    </row>
    <row r="483" spans="3:18" x14ac:dyDescent="0.25">
      <c r="Q483" s="225"/>
      <c r="R483" s="225"/>
    </row>
    <row r="484" spans="3:18" x14ac:dyDescent="0.25">
      <c r="Q484" s="225"/>
      <c r="R484" s="225"/>
    </row>
    <row r="485" spans="3:18" x14ac:dyDescent="0.25">
      <c r="Q485" s="225"/>
      <c r="R485" s="225"/>
    </row>
    <row r="486" spans="3:18" x14ac:dyDescent="0.25">
      <c r="Q486" s="225"/>
      <c r="R486" s="225"/>
    </row>
    <row r="487" spans="3:18" x14ac:dyDescent="0.25">
      <c r="Q487" s="225"/>
      <c r="R487" s="225"/>
    </row>
    <row r="488" spans="3:18" ht="318" customHeight="1" x14ac:dyDescent="0.25">
      <c r="C488" s="355"/>
      <c r="Q488" s="225"/>
      <c r="R488" s="225"/>
    </row>
    <row r="489" spans="3:18" ht="201.75" customHeight="1" x14ac:dyDescent="0.25">
      <c r="Q489" s="225"/>
      <c r="R489" s="225"/>
    </row>
    <row r="490" spans="3:18" x14ac:dyDescent="0.25">
      <c r="C490" s="59"/>
      <c r="Q490" s="225"/>
      <c r="R490" s="225"/>
    </row>
    <row r="491" spans="3:18" x14ac:dyDescent="0.25">
      <c r="Q491" s="225"/>
      <c r="R491" s="225"/>
    </row>
    <row r="492" spans="3:18" x14ac:dyDescent="0.25">
      <c r="Q492" s="225"/>
      <c r="R492" s="225"/>
    </row>
    <row r="493" spans="3:18" x14ac:dyDescent="0.25">
      <c r="Q493" s="225"/>
      <c r="R493" s="225"/>
    </row>
    <row r="494" spans="3:18" x14ac:dyDescent="0.25">
      <c r="Q494" s="225"/>
      <c r="R494" s="225"/>
    </row>
    <row r="495" spans="3:18" x14ac:dyDescent="0.25">
      <c r="Q495" s="225"/>
      <c r="R495" s="225"/>
    </row>
    <row r="496" spans="3:18" x14ac:dyDescent="0.25">
      <c r="Q496" s="225"/>
      <c r="R496" s="225"/>
    </row>
    <row r="497" spans="6:18" x14ac:dyDescent="0.25">
      <c r="Q497" s="225"/>
      <c r="R497" s="225"/>
    </row>
    <row r="498" spans="6:18" x14ac:dyDescent="0.25">
      <c r="Q498" s="225"/>
      <c r="R498" s="225"/>
    </row>
    <row r="499" spans="6:18" x14ac:dyDescent="0.25">
      <c r="Q499" s="225"/>
      <c r="R499" s="225"/>
    </row>
    <row r="500" spans="6:18" x14ac:dyDescent="0.25">
      <c r="Q500" s="225"/>
      <c r="R500" s="225"/>
    </row>
    <row r="501" spans="6:18" x14ac:dyDescent="0.25">
      <c r="Q501" s="225"/>
      <c r="R501" s="225"/>
    </row>
    <row r="502" spans="6:18" x14ac:dyDescent="0.25">
      <c r="Q502" s="225"/>
      <c r="R502" s="225"/>
    </row>
    <row r="503" spans="6:18" x14ac:dyDescent="0.25">
      <c r="Q503" s="225"/>
      <c r="R503" s="225"/>
    </row>
    <row r="504" spans="6:18" x14ac:dyDescent="0.25">
      <c r="Q504" s="225"/>
      <c r="R504" s="225"/>
    </row>
    <row r="505" spans="6:18" ht="20.25" x14ac:dyDescent="0.25">
      <c r="F505" s="5"/>
      <c r="G505" s="124"/>
      <c r="H505" s="118"/>
      <c r="Q505" s="225"/>
      <c r="R505" s="225"/>
    </row>
    <row r="506" spans="6:18" ht="20.25" x14ac:dyDescent="0.25">
      <c r="F506" s="5"/>
      <c r="G506" s="124"/>
      <c r="H506" s="118"/>
    </row>
    <row r="507" spans="6:18" ht="20.25" x14ac:dyDescent="0.25">
      <c r="F507" s="5"/>
      <c r="G507" s="124"/>
      <c r="H507" s="118"/>
    </row>
    <row r="508" spans="6:18" ht="19.5" x14ac:dyDescent="0.25">
      <c r="F508" s="712"/>
      <c r="G508" s="126"/>
      <c r="H508" s="9"/>
    </row>
    <row r="509" spans="6:18" ht="19.5" x14ac:dyDescent="0.25">
      <c r="F509" s="712"/>
      <c r="G509" s="126"/>
      <c r="H509" s="9"/>
    </row>
    <row r="510" spans="6:18" ht="19.5" x14ac:dyDescent="0.25">
      <c r="F510" s="712"/>
      <c r="G510" s="126"/>
      <c r="H510" s="9"/>
    </row>
    <row r="511" spans="6:18" ht="19.5" x14ac:dyDescent="0.25">
      <c r="F511" s="712"/>
      <c r="G511" s="126"/>
      <c r="H511" s="9"/>
    </row>
    <row r="512" spans="6:18" ht="19.5" x14ac:dyDescent="0.25">
      <c r="F512" s="712"/>
      <c r="G512" s="126"/>
      <c r="H512" s="9"/>
    </row>
    <row r="513" spans="6:8" ht="19.5" x14ac:dyDescent="0.25">
      <c r="F513" s="712"/>
      <c r="G513" s="126"/>
      <c r="H513" s="9"/>
    </row>
  </sheetData>
  <autoFilter ref="A11:S461" xr:uid="{00000000-0009-0000-0000-000001000000}"/>
  <mergeCells count="554">
    <mergeCell ref="C443:C449"/>
    <mergeCell ref="E439:E456"/>
    <mergeCell ref="D439:D456"/>
    <mergeCell ref="C455:C456"/>
    <mergeCell ref="B395:B460"/>
    <mergeCell ref="A11:A460"/>
    <mergeCell ref="C423:C430"/>
    <mergeCell ref="C413:C416"/>
    <mergeCell ref="D413:D416"/>
    <mergeCell ref="E413:E416"/>
    <mergeCell ref="D391:D394"/>
    <mergeCell ref="C123:C128"/>
    <mergeCell ref="D123:D128"/>
    <mergeCell ref="E123:E128"/>
    <mergeCell ref="E301:E306"/>
    <mergeCell ref="C267:C272"/>
    <mergeCell ref="D267:D272"/>
    <mergeCell ref="E267:E272"/>
    <mergeCell ref="C243:C248"/>
    <mergeCell ref="D243:D248"/>
    <mergeCell ref="E243:E248"/>
    <mergeCell ref="C219:C224"/>
    <mergeCell ref="D219:D224"/>
    <mergeCell ref="E219:E224"/>
    <mergeCell ref="C417:C422"/>
    <mergeCell ref="D417:D422"/>
    <mergeCell ref="E417:E422"/>
    <mergeCell ref="F417:F422"/>
    <mergeCell ref="G403:G406"/>
    <mergeCell ref="H403:H406"/>
    <mergeCell ref="D401:D406"/>
    <mergeCell ref="E401:E406"/>
    <mergeCell ref="F401:F406"/>
    <mergeCell ref="C319:C324"/>
    <mergeCell ref="D319:D324"/>
    <mergeCell ref="E319:E324"/>
    <mergeCell ref="F319:F324"/>
    <mergeCell ref="C325:C330"/>
    <mergeCell ref="D325:D330"/>
    <mergeCell ref="E325:E330"/>
    <mergeCell ref="F325:F330"/>
    <mergeCell ref="F413:F416"/>
    <mergeCell ref="F391:F394"/>
    <mergeCell ref="E391:E394"/>
    <mergeCell ref="C331:C336"/>
    <mergeCell ref="D331:D336"/>
    <mergeCell ref="E331:E336"/>
    <mergeCell ref="F331:F336"/>
    <mergeCell ref="C337:C342"/>
    <mergeCell ref="D337:D342"/>
    <mergeCell ref="E337:E342"/>
    <mergeCell ref="C391:C394"/>
    <mergeCell ref="E385:E390"/>
    <mergeCell ref="F367:F372"/>
    <mergeCell ref="C373:C378"/>
    <mergeCell ref="D373:D378"/>
    <mergeCell ref="E373:E378"/>
    <mergeCell ref="F373:F378"/>
    <mergeCell ref="F385:F390"/>
    <mergeCell ref="C367:C372"/>
    <mergeCell ref="D367:D372"/>
    <mergeCell ref="E367:E372"/>
    <mergeCell ref="F355:F360"/>
    <mergeCell ref="F337:F342"/>
    <mergeCell ref="M56:M58"/>
    <mergeCell ref="D87:D92"/>
    <mergeCell ref="E87:E92"/>
    <mergeCell ref="F87:F92"/>
    <mergeCell ref="C93:C98"/>
    <mergeCell ref="D93:D98"/>
    <mergeCell ref="E93:E98"/>
    <mergeCell ref="F93:F98"/>
    <mergeCell ref="C69:C74"/>
    <mergeCell ref="D69:D74"/>
    <mergeCell ref="E69:E74"/>
    <mergeCell ref="F69:F74"/>
    <mergeCell ref="C81:C86"/>
    <mergeCell ref="D81:D86"/>
    <mergeCell ref="E81:E86"/>
    <mergeCell ref="F81:F86"/>
    <mergeCell ref="L91:L92"/>
    <mergeCell ref="M91:M92"/>
    <mergeCell ref="K56:K58"/>
    <mergeCell ref="G77:G78"/>
    <mergeCell ref="H77:H78"/>
    <mergeCell ref="F123:F128"/>
    <mergeCell ref="I91:I92"/>
    <mergeCell ref="J91:J92"/>
    <mergeCell ref="K91:K92"/>
    <mergeCell ref="L56:L58"/>
    <mergeCell ref="E355:E360"/>
    <mergeCell ref="E105:E110"/>
    <mergeCell ref="F105:F110"/>
    <mergeCell ref="C87:C92"/>
    <mergeCell ref="C129:C134"/>
    <mergeCell ref="D129:D134"/>
    <mergeCell ref="E129:E134"/>
    <mergeCell ref="F129:F134"/>
    <mergeCell ref="J56:J58"/>
    <mergeCell ref="F307:F312"/>
    <mergeCell ref="C313:C318"/>
    <mergeCell ref="D313:D318"/>
    <mergeCell ref="E313:E318"/>
    <mergeCell ref="F313:F318"/>
    <mergeCell ref="C295:C300"/>
    <mergeCell ref="D295:D300"/>
    <mergeCell ref="F295:F300"/>
    <mergeCell ref="C301:C306"/>
    <mergeCell ref="D301:D306"/>
    <mergeCell ref="F301:F306"/>
    <mergeCell ref="C307:C312"/>
    <mergeCell ref="D307:D312"/>
    <mergeCell ref="C283:C288"/>
    <mergeCell ref="D283:D288"/>
    <mergeCell ref="F457:F460"/>
    <mergeCell ref="N56:N58"/>
    <mergeCell ref="C117:C122"/>
    <mergeCell ref="D117:D122"/>
    <mergeCell ref="E117:E122"/>
    <mergeCell ref="F117:F122"/>
    <mergeCell ref="C53:C58"/>
    <mergeCell ref="D53:D58"/>
    <mergeCell ref="E53:E58"/>
    <mergeCell ref="F53:F58"/>
    <mergeCell ref="I56:I58"/>
    <mergeCell ref="F59:F68"/>
    <mergeCell ref="E59:E68"/>
    <mergeCell ref="D59:D68"/>
    <mergeCell ref="C59:C68"/>
    <mergeCell ref="C99:C104"/>
    <mergeCell ref="D99:D104"/>
    <mergeCell ref="E99:E104"/>
    <mergeCell ref="F99:F104"/>
    <mergeCell ref="C105:C110"/>
    <mergeCell ref="D105:D110"/>
    <mergeCell ref="C355:C360"/>
    <mergeCell ref="D355:D360"/>
    <mergeCell ref="E307:E312"/>
    <mergeCell ref="F40:G40"/>
    <mergeCell ref="B479:F479"/>
    <mergeCell ref="A472:E476"/>
    <mergeCell ref="C361:C366"/>
    <mergeCell ref="D361:D366"/>
    <mergeCell ref="E361:E366"/>
    <mergeCell ref="F361:F366"/>
    <mergeCell ref="C343:C348"/>
    <mergeCell ref="D343:D348"/>
    <mergeCell ref="E343:E348"/>
    <mergeCell ref="F343:F348"/>
    <mergeCell ref="C349:C354"/>
    <mergeCell ref="D349:D354"/>
    <mergeCell ref="E349:E354"/>
    <mergeCell ref="F349:F354"/>
    <mergeCell ref="C457:C460"/>
    <mergeCell ref="C401:C406"/>
    <mergeCell ref="C379:C384"/>
    <mergeCell ref="D379:D384"/>
    <mergeCell ref="E379:E384"/>
    <mergeCell ref="F379:F384"/>
    <mergeCell ref="C385:C390"/>
    <mergeCell ref="D385:D390"/>
    <mergeCell ref="E295:E300"/>
    <mergeCell ref="N20:N22"/>
    <mergeCell ref="F37:G37"/>
    <mergeCell ref="I20:I22"/>
    <mergeCell ref="F19:G19"/>
    <mergeCell ref="F20:G20"/>
    <mergeCell ref="F21:G21"/>
    <mergeCell ref="J18:J19"/>
    <mergeCell ref="K18:K19"/>
    <mergeCell ref="F35:G35"/>
    <mergeCell ref="F36:G36"/>
    <mergeCell ref="L36:L39"/>
    <mergeCell ref="M36:M39"/>
    <mergeCell ref="I8:N8"/>
    <mergeCell ref="G10:H10"/>
    <mergeCell ref="I23:I34"/>
    <mergeCell ref="J23:J34"/>
    <mergeCell ref="N23:N34"/>
    <mergeCell ref="I41:I52"/>
    <mergeCell ref="J41:J52"/>
    <mergeCell ref="N41:N52"/>
    <mergeCell ref="F47:F52"/>
    <mergeCell ref="K23:K34"/>
    <mergeCell ref="K41:K52"/>
    <mergeCell ref="L23:L34"/>
    <mergeCell ref="L41:L52"/>
    <mergeCell ref="M23:M34"/>
    <mergeCell ref="M41:M52"/>
    <mergeCell ref="I18:I19"/>
    <mergeCell ref="F38:G38"/>
    <mergeCell ref="F39:G39"/>
    <mergeCell ref="I36:I39"/>
    <mergeCell ref="J36:J39"/>
    <mergeCell ref="K36:K39"/>
    <mergeCell ref="N36:N39"/>
    <mergeCell ref="F41:F46"/>
    <mergeCell ref="N18:N19"/>
    <mergeCell ref="F508:F510"/>
    <mergeCell ref="F511:F513"/>
    <mergeCell ref="A465:N465"/>
    <mergeCell ref="D423:D438"/>
    <mergeCell ref="E423:E438"/>
    <mergeCell ref="F423:F438"/>
    <mergeCell ref="C395:C400"/>
    <mergeCell ref="D395:D400"/>
    <mergeCell ref="E395:E400"/>
    <mergeCell ref="F395:F400"/>
    <mergeCell ref="C407:C412"/>
    <mergeCell ref="D407:D412"/>
    <mergeCell ref="E407:E412"/>
    <mergeCell ref="F407:F412"/>
    <mergeCell ref="A467:E471"/>
    <mergeCell ref="I410:I412"/>
    <mergeCell ref="J410:J412"/>
    <mergeCell ref="K410:K412"/>
    <mergeCell ref="L410:L412"/>
    <mergeCell ref="M410:M412"/>
    <mergeCell ref="K420:K422"/>
    <mergeCell ref="M420:M422"/>
    <mergeCell ref="N420:N422"/>
    <mergeCell ref="L420:L422"/>
    <mergeCell ref="E283:E288"/>
    <mergeCell ref="F283:F288"/>
    <mergeCell ref="C289:C294"/>
    <mergeCell ref="D289:D294"/>
    <mergeCell ref="E289:E294"/>
    <mergeCell ref="F289:F294"/>
    <mergeCell ref="F267:F272"/>
    <mergeCell ref="C273:C282"/>
    <mergeCell ref="D273:D282"/>
    <mergeCell ref="E273:E282"/>
    <mergeCell ref="F273:F282"/>
    <mergeCell ref="C255:C260"/>
    <mergeCell ref="D255:D260"/>
    <mergeCell ref="E255:E260"/>
    <mergeCell ref="F255:F260"/>
    <mergeCell ref="C261:C266"/>
    <mergeCell ref="D261:D266"/>
    <mergeCell ref="E261:E266"/>
    <mergeCell ref="F261:F266"/>
    <mergeCell ref="F243:F248"/>
    <mergeCell ref="C249:C254"/>
    <mergeCell ref="D249:D254"/>
    <mergeCell ref="E249:E254"/>
    <mergeCell ref="F249:F254"/>
    <mergeCell ref="C231:C236"/>
    <mergeCell ref="D231:D236"/>
    <mergeCell ref="E231:E236"/>
    <mergeCell ref="F231:F236"/>
    <mergeCell ref="C237:C242"/>
    <mergeCell ref="D237:D242"/>
    <mergeCell ref="E237:E242"/>
    <mergeCell ref="F237:F242"/>
    <mergeCell ref="F219:F224"/>
    <mergeCell ref="C225:C230"/>
    <mergeCell ref="D225:D230"/>
    <mergeCell ref="E225:E230"/>
    <mergeCell ref="F225:F230"/>
    <mergeCell ref="C207:C212"/>
    <mergeCell ref="D207:D212"/>
    <mergeCell ref="E207:E212"/>
    <mergeCell ref="F207:F212"/>
    <mergeCell ref="C213:C218"/>
    <mergeCell ref="D213:D218"/>
    <mergeCell ref="E213:E218"/>
    <mergeCell ref="F213:F218"/>
    <mergeCell ref="C195:C200"/>
    <mergeCell ref="D195:D200"/>
    <mergeCell ref="E195:E200"/>
    <mergeCell ref="F195:F200"/>
    <mergeCell ref="C201:C206"/>
    <mergeCell ref="D201:D206"/>
    <mergeCell ref="E201:E206"/>
    <mergeCell ref="F201:F206"/>
    <mergeCell ref="C189:C194"/>
    <mergeCell ref="D189:D194"/>
    <mergeCell ref="E189:E194"/>
    <mergeCell ref="F189:F194"/>
    <mergeCell ref="D171:D176"/>
    <mergeCell ref="E171:E176"/>
    <mergeCell ref="F171:F176"/>
    <mergeCell ref="C177:C182"/>
    <mergeCell ref="D177:D182"/>
    <mergeCell ref="E177:E182"/>
    <mergeCell ref="F177:F182"/>
    <mergeCell ref="E147:E152"/>
    <mergeCell ref="F147:F152"/>
    <mergeCell ref="C153:C158"/>
    <mergeCell ref="D153:D158"/>
    <mergeCell ref="E153:E158"/>
    <mergeCell ref="F153:F158"/>
    <mergeCell ref="D183:D188"/>
    <mergeCell ref="E183:E188"/>
    <mergeCell ref="F183:F188"/>
    <mergeCell ref="C171:C176"/>
    <mergeCell ref="N76:N78"/>
    <mergeCell ref="L18:L19"/>
    <mergeCell ref="M18:M19"/>
    <mergeCell ref="C11:C16"/>
    <mergeCell ref="D11:D16"/>
    <mergeCell ref="E11:E16"/>
    <mergeCell ref="F11:F16"/>
    <mergeCell ref="C17:C34"/>
    <mergeCell ref="C75:C80"/>
    <mergeCell ref="D75:D80"/>
    <mergeCell ref="E75:E80"/>
    <mergeCell ref="F75:F80"/>
    <mergeCell ref="I76:I78"/>
    <mergeCell ref="J76:J78"/>
    <mergeCell ref="K76:K78"/>
    <mergeCell ref="L76:L78"/>
    <mergeCell ref="M76:M78"/>
    <mergeCell ref="C35:C52"/>
    <mergeCell ref="D35:D52"/>
    <mergeCell ref="E35:E52"/>
    <mergeCell ref="J20:J22"/>
    <mergeCell ref="K20:K22"/>
    <mergeCell ref="L20:L22"/>
    <mergeCell ref="M20:M22"/>
    <mergeCell ref="B53:B394"/>
    <mergeCell ref="C135:C140"/>
    <mergeCell ref="D135:D140"/>
    <mergeCell ref="E135:E140"/>
    <mergeCell ref="F135:F140"/>
    <mergeCell ref="C141:C146"/>
    <mergeCell ref="D141:D146"/>
    <mergeCell ref="E141:E146"/>
    <mergeCell ref="F141:F146"/>
    <mergeCell ref="C111:C116"/>
    <mergeCell ref="D111:D116"/>
    <mergeCell ref="E111:E116"/>
    <mergeCell ref="F111:F116"/>
    <mergeCell ref="C159:C164"/>
    <mergeCell ref="D159:D164"/>
    <mergeCell ref="E159:E164"/>
    <mergeCell ref="F159:F164"/>
    <mergeCell ref="C165:C170"/>
    <mergeCell ref="D165:D170"/>
    <mergeCell ref="E165:E170"/>
    <mergeCell ref="F165:F170"/>
    <mergeCell ref="C147:C152"/>
    <mergeCell ref="D147:D152"/>
    <mergeCell ref="C183:C188"/>
    <mergeCell ref="A5:N5"/>
    <mergeCell ref="A6:N6"/>
    <mergeCell ref="I89:I90"/>
    <mergeCell ref="J89:J90"/>
    <mergeCell ref="K89:K90"/>
    <mergeCell ref="L89:L90"/>
    <mergeCell ref="M89:M90"/>
    <mergeCell ref="N89:N90"/>
    <mergeCell ref="N91:N92"/>
    <mergeCell ref="A8:A9"/>
    <mergeCell ref="B8:B9"/>
    <mergeCell ref="C8:C9"/>
    <mergeCell ref="D8:D9"/>
    <mergeCell ref="E8:E9"/>
    <mergeCell ref="F8:F9"/>
    <mergeCell ref="F29:F34"/>
    <mergeCell ref="D17:D34"/>
    <mergeCell ref="E17:E34"/>
    <mergeCell ref="F17:G17"/>
    <mergeCell ref="F18:G18"/>
    <mergeCell ref="F22:G22"/>
    <mergeCell ref="F23:F28"/>
    <mergeCell ref="G8:H9"/>
    <mergeCell ref="B11:B52"/>
    <mergeCell ref="I161:I162"/>
    <mergeCell ref="J161:J162"/>
    <mergeCell ref="K161:K162"/>
    <mergeCell ref="L161:L162"/>
    <mergeCell ref="M161:M162"/>
    <mergeCell ref="N161:N162"/>
    <mergeCell ref="I163:I164"/>
    <mergeCell ref="J163:J164"/>
    <mergeCell ref="K163:K164"/>
    <mergeCell ref="L163:L164"/>
    <mergeCell ref="M163:M164"/>
    <mergeCell ref="N163:N164"/>
    <mergeCell ref="I192:I194"/>
    <mergeCell ref="J192:J194"/>
    <mergeCell ref="K192:K194"/>
    <mergeCell ref="L192:L194"/>
    <mergeCell ref="M192:M194"/>
    <mergeCell ref="N192:N194"/>
    <mergeCell ref="I210:I212"/>
    <mergeCell ref="J210:J212"/>
    <mergeCell ref="K210:K212"/>
    <mergeCell ref="L210:L212"/>
    <mergeCell ref="M210:M212"/>
    <mergeCell ref="N210:N212"/>
    <mergeCell ref="I216:I218"/>
    <mergeCell ref="J216:J218"/>
    <mergeCell ref="K216:K218"/>
    <mergeCell ref="L216:L218"/>
    <mergeCell ref="M216:M218"/>
    <mergeCell ref="N216:N218"/>
    <mergeCell ref="I234:I236"/>
    <mergeCell ref="J234:J236"/>
    <mergeCell ref="K234:K236"/>
    <mergeCell ref="L234:L236"/>
    <mergeCell ref="M234:M236"/>
    <mergeCell ref="N234:N236"/>
    <mergeCell ref="I238:I239"/>
    <mergeCell ref="J238:J239"/>
    <mergeCell ref="K238:K239"/>
    <mergeCell ref="L238:L239"/>
    <mergeCell ref="M238:M239"/>
    <mergeCell ref="N238:N239"/>
    <mergeCell ref="I241:I242"/>
    <mergeCell ref="J241:J242"/>
    <mergeCell ref="K241:K242"/>
    <mergeCell ref="L241:L242"/>
    <mergeCell ref="M241:M242"/>
    <mergeCell ref="N241:N242"/>
    <mergeCell ref="I244:I246"/>
    <mergeCell ref="J244:J246"/>
    <mergeCell ref="K244:K246"/>
    <mergeCell ref="L244:L246"/>
    <mergeCell ref="M244:M246"/>
    <mergeCell ref="N244:N246"/>
    <mergeCell ref="I250:I252"/>
    <mergeCell ref="J250:J252"/>
    <mergeCell ref="K250:K252"/>
    <mergeCell ref="L250:L252"/>
    <mergeCell ref="M250:M252"/>
    <mergeCell ref="N250:N252"/>
    <mergeCell ref="I262:I264"/>
    <mergeCell ref="J262:J264"/>
    <mergeCell ref="K262:K264"/>
    <mergeCell ref="L262:L264"/>
    <mergeCell ref="M262:M264"/>
    <mergeCell ref="N262:N264"/>
    <mergeCell ref="I268:I270"/>
    <mergeCell ref="J268:J270"/>
    <mergeCell ref="K268:K270"/>
    <mergeCell ref="L268:L270"/>
    <mergeCell ref="M268:M270"/>
    <mergeCell ref="N268:N270"/>
    <mergeCell ref="I286:I288"/>
    <mergeCell ref="J286:J288"/>
    <mergeCell ref="K286:K288"/>
    <mergeCell ref="L286:L288"/>
    <mergeCell ref="M286:M288"/>
    <mergeCell ref="N286:N288"/>
    <mergeCell ref="I290:I292"/>
    <mergeCell ref="J290:J292"/>
    <mergeCell ref="K290:K292"/>
    <mergeCell ref="L290:L292"/>
    <mergeCell ref="M290:M292"/>
    <mergeCell ref="N290:N292"/>
    <mergeCell ref="I296:I298"/>
    <mergeCell ref="J296:J298"/>
    <mergeCell ref="K296:K298"/>
    <mergeCell ref="L296:L298"/>
    <mergeCell ref="M296:M298"/>
    <mergeCell ref="N296:N298"/>
    <mergeCell ref="I302:I304"/>
    <mergeCell ref="J302:J304"/>
    <mergeCell ref="K302:K304"/>
    <mergeCell ref="L302:L304"/>
    <mergeCell ref="M302:M304"/>
    <mergeCell ref="N302:N304"/>
    <mergeCell ref="I310:I312"/>
    <mergeCell ref="J310:J312"/>
    <mergeCell ref="K310:K312"/>
    <mergeCell ref="L310:L312"/>
    <mergeCell ref="M310:M312"/>
    <mergeCell ref="N310:N312"/>
    <mergeCell ref="I314:I316"/>
    <mergeCell ref="J314:J316"/>
    <mergeCell ref="K314:K316"/>
    <mergeCell ref="L314:L316"/>
    <mergeCell ref="M314:M316"/>
    <mergeCell ref="N314:N316"/>
    <mergeCell ref="J338:J340"/>
    <mergeCell ref="K338:K340"/>
    <mergeCell ref="L338:L340"/>
    <mergeCell ref="M338:M340"/>
    <mergeCell ref="N338:N340"/>
    <mergeCell ref="I346:I348"/>
    <mergeCell ref="J346:J348"/>
    <mergeCell ref="K346:K348"/>
    <mergeCell ref="L346:L348"/>
    <mergeCell ref="M346:M348"/>
    <mergeCell ref="N346:N348"/>
    <mergeCell ref="I338:I340"/>
    <mergeCell ref="J352:J354"/>
    <mergeCell ref="K352:K354"/>
    <mergeCell ref="L352:L354"/>
    <mergeCell ref="M352:M354"/>
    <mergeCell ref="N352:N354"/>
    <mergeCell ref="I358:I360"/>
    <mergeCell ref="J358:J360"/>
    <mergeCell ref="K358:K360"/>
    <mergeCell ref="L358:L360"/>
    <mergeCell ref="M358:M360"/>
    <mergeCell ref="N358:N360"/>
    <mergeCell ref="I352:I354"/>
    <mergeCell ref="J362:J364"/>
    <mergeCell ref="K362:K364"/>
    <mergeCell ref="L362:L364"/>
    <mergeCell ref="M362:M364"/>
    <mergeCell ref="N362:N364"/>
    <mergeCell ref="I370:I372"/>
    <mergeCell ref="J370:J372"/>
    <mergeCell ref="K370:K372"/>
    <mergeCell ref="L370:L372"/>
    <mergeCell ref="M370:M372"/>
    <mergeCell ref="N370:N372"/>
    <mergeCell ref="I362:I364"/>
    <mergeCell ref="I376:I378"/>
    <mergeCell ref="J376:J378"/>
    <mergeCell ref="K376:K378"/>
    <mergeCell ref="L376:L378"/>
    <mergeCell ref="M376:M378"/>
    <mergeCell ref="N376:N378"/>
    <mergeCell ref="I380:I381"/>
    <mergeCell ref="I382:I383"/>
    <mergeCell ref="J380:J381"/>
    <mergeCell ref="K380:K381"/>
    <mergeCell ref="L380:L381"/>
    <mergeCell ref="M380:M381"/>
    <mergeCell ref="N380:N381"/>
    <mergeCell ref="J382:J383"/>
    <mergeCell ref="K382:K383"/>
    <mergeCell ref="L382:L383"/>
    <mergeCell ref="M382:M383"/>
    <mergeCell ref="N382:N383"/>
    <mergeCell ref="I420:I422"/>
    <mergeCell ref="B464:H464"/>
    <mergeCell ref="D457:D460"/>
    <mergeCell ref="E457:E460"/>
    <mergeCell ref="N410:N412"/>
    <mergeCell ref="I388:I390"/>
    <mergeCell ref="J388:J390"/>
    <mergeCell ref="K388:K390"/>
    <mergeCell ref="L388:L390"/>
    <mergeCell ref="M388:M390"/>
    <mergeCell ref="N388:N390"/>
    <mergeCell ref="I398:I400"/>
    <mergeCell ref="J398:J400"/>
    <mergeCell ref="K398:K400"/>
    <mergeCell ref="L398:L400"/>
    <mergeCell ref="M398:M400"/>
    <mergeCell ref="N398:N400"/>
    <mergeCell ref="L404:L406"/>
    <mergeCell ref="M404:M406"/>
    <mergeCell ref="N404:N406"/>
    <mergeCell ref="I404:I406"/>
    <mergeCell ref="J404:J406"/>
    <mergeCell ref="K404:K406"/>
    <mergeCell ref="J420:J422"/>
  </mergeCells>
  <phoneticPr fontId="29" type="noConversion"/>
  <pageMargins left="0.31496062992125984" right="0.19685039370078741" top="0.19685039370078741" bottom="0.15748031496062992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 для звіту</vt:lpstr>
      <vt:lpstr>Нова2 </vt:lpstr>
      <vt:lpstr>'шаблон для звіту'!Заголовки_для_печати</vt:lpstr>
      <vt:lpstr>'шаблон для звіту'!Область_печати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User</cp:lastModifiedBy>
  <cp:lastPrinted>2025-05-27T11:30:51Z</cp:lastPrinted>
  <dcterms:created xsi:type="dcterms:W3CDTF">2023-04-13T11:19:37Z</dcterms:created>
  <dcterms:modified xsi:type="dcterms:W3CDTF">2025-05-27T11:31:10Z</dcterms:modified>
</cp:coreProperties>
</file>