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ВИКОНАННЯ НА САЙТ\"/>
    </mc:Choice>
  </mc:AlternateContent>
  <xr:revisionPtr revIDLastSave="0" documentId="13_ncr:1_{47FDD47D-DC23-4F86-A579-B0E5C99FF0DC}" xr6:coauthVersionLast="47" xr6:coauthVersionMax="47" xr10:uidLastSave="{00000000-0000-0000-0000-000000000000}"/>
  <bookViews>
    <workbookView xWindow="3120" yWindow="210" windowWidth="22395" windowHeight="15270" activeTab="4" xr2:uid="{21113805-7C77-4E56-B795-998699BA06DB}"/>
  </bookViews>
  <sheets>
    <sheet name="СІЧЕНЬ" sheetId="3" r:id="rId1"/>
    <sheet name="СІЧЕНЬ_ЛЮТИЙ" sheetId="1" r:id="rId2"/>
    <sheet name="СІЧЕНЬ_БЕРЕЗЕНЬ" sheetId="4" r:id="rId3"/>
    <sheet name="СІЧЕНЬ-КВІТЕНЬ" sheetId="5" r:id="rId4"/>
    <sheet name="СІЧЕНЬ-ТРАВЕНЬ" sheetId="6" r:id="rId5"/>
  </sheets>
  <definedNames>
    <definedName name="_xlnm.Print_Area" localSheetId="2">СІЧЕНЬ_БЕРЕЗЕНЬ!$A$1:$G$643</definedName>
    <definedName name="_xlnm.Print_Area" localSheetId="1">СІЧЕНЬ_ЛЮТИЙ!$A$1:$G$615</definedName>
    <definedName name="_xlnm.Print_Area" localSheetId="3">'СІЧЕНЬ-КВІТЕНЬ'!$A$1:$G$648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9" i="6" l="1"/>
  <c r="D239" i="6"/>
  <c r="E239" i="6"/>
  <c r="B239" i="6"/>
  <c r="F269" i="6"/>
  <c r="C266" i="6"/>
  <c r="C345" i="6"/>
  <c r="C344" i="6" s="1"/>
  <c r="C313" i="6"/>
  <c r="C312" i="6"/>
  <c r="C311" i="6"/>
  <c r="C310" i="6"/>
  <c r="C309" i="6"/>
  <c r="C308" i="6"/>
  <c r="C307" i="6"/>
  <c r="C306" i="6"/>
  <c r="C305" i="6"/>
  <c r="D287" i="6"/>
  <c r="E287" i="6"/>
  <c r="B287" i="6"/>
  <c r="C222" i="6"/>
  <c r="C227" i="6"/>
  <c r="C226" i="6"/>
  <c r="C224" i="6"/>
  <c r="C223" i="6"/>
  <c r="C220" i="6"/>
  <c r="C219" i="6"/>
  <c r="C218" i="6"/>
  <c r="C217" i="6"/>
  <c r="D215" i="6"/>
  <c r="E215" i="6"/>
  <c r="B215" i="6"/>
  <c r="C201" i="6"/>
  <c r="C200" i="6" s="1"/>
  <c r="C199" i="6"/>
  <c r="C198" i="6"/>
  <c r="C197" i="6"/>
  <c r="C196" i="6"/>
  <c r="C195" i="6"/>
  <c r="C194" i="6"/>
  <c r="C193" i="6"/>
  <c r="C192" i="6"/>
  <c r="C191" i="6"/>
  <c r="C190" i="6"/>
  <c r="C189" i="6"/>
  <c r="C188" i="6"/>
  <c r="D139" i="6"/>
  <c r="E139" i="6"/>
  <c r="B139" i="6"/>
  <c r="C130" i="6"/>
  <c r="B93" i="6"/>
  <c r="C137" i="6"/>
  <c r="C136" i="6"/>
  <c r="C135" i="6"/>
  <c r="C134" i="6"/>
  <c r="C133" i="6"/>
  <c r="C132" i="6"/>
  <c r="C131" i="6"/>
  <c r="C129" i="6"/>
  <c r="C128" i="6"/>
  <c r="C127" i="6"/>
  <c r="D93" i="6"/>
  <c r="E93" i="6"/>
  <c r="C18" i="6"/>
  <c r="F25" i="6"/>
  <c r="D7" i="6"/>
  <c r="E7" i="6"/>
  <c r="D8" i="6"/>
  <c r="E8" i="6"/>
  <c r="B7" i="6"/>
  <c r="B8" i="6"/>
  <c r="C9" i="6"/>
  <c r="C304" i="6" l="1"/>
  <c r="C287" i="6" s="1"/>
  <c r="F287" i="6" s="1"/>
  <c r="E92" i="6"/>
  <c r="D92" i="6"/>
  <c r="C187" i="6"/>
  <c r="C139" i="6" s="1"/>
  <c r="F139" i="6" s="1"/>
  <c r="C126" i="6"/>
  <c r="C93" i="6" s="1"/>
  <c r="C8" i="6"/>
  <c r="C7" i="6" s="1"/>
  <c r="B92" i="6"/>
  <c r="C327" i="6"/>
  <c r="F327" i="6" s="1"/>
  <c r="C333" i="6"/>
  <c r="F333" i="6" s="1"/>
  <c r="C332" i="6"/>
  <c r="F332" i="6" s="1"/>
  <c r="C331" i="6"/>
  <c r="F331" i="6" s="1"/>
  <c r="C330" i="6"/>
  <c r="C329" i="6"/>
  <c r="C328" i="6"/>
  <c r="F328" i="6" s="1"/>
  <c r="C326" i="6"/>
  <c r="F326" i="6" s="1"/>
  <c r="C458" i="6"/>
  <c r="F458" i="6" s="1"/>
  <c r="D438" i="6"/>
  <c r="E438" i="6"/>
  <c r="B438" i="6"/>
  <c r="C518" i="6"/>
  <c r="C517" i="6" s="1"/>
  <c r="F517" i="6" s="1"/>
  <c r="C508" i="6"/>
  <c r="C507" i="6" s="1"/>
  <c r="D507" i="6"/>
  <c r="E507" i="6"/>
  <c r="B507" i="6"/>
  <c r="D496" i="6"/>
  <c r="E496" i="6"/>
  <c r="B497" i="6"/>
  <c r="B496" i="6" s="1"/>
  <c r="C497" i="6"/>
  <c r="F497" i="6" s="1"/>
  <c r="C527" i="6"/>
  <c r="D527" i="6"/>
  <c r="E527" i="6"/>
  <c r="B527" i="6"/>
  <c r="C577" i="6"/>
  <c r="D577" i="6"/>
  <c r="E577" i="6"/>
  <c r="B577" i="6"/>
  <c r="C617" i="6"/>
  <c r="D617" i="6"/>
  <c r="E617" i="6"/>
  <c r="C589" i="6"/>
  <c r="B617" i="6"/>
  <c r="C594" i="6"/>
  <c r="C590" i="6" s="1"/>
  <c r="D594" i="6"/>
  <c r="E594" i="6"/>
  <c r="E590" i="6" s="1"/>
  <c r="B599" i="6"/>
  <c r="B598" i="6" s="1"/>
  <c r="C611" i="6"/>
  <c r="D611" i="6"/>
  <c r="E611" i="6"/>
  <c r="B611" i="6"/>
  <c r="C607" i="6"/>
  <c r="D607" i="6"/>
  <c r="E607" i="6"/>
  <c r="B607" i="6"/>
  <c r="C602" i="6"/>
  <c r="D602" i="6"/>
  <c r="E602" i="6"/>
  <c r="B602" i="6"/>
  <c r="F577" i="6"/>
  <c r="G640" i="6"/>
  <c r="F640" i="6"/>
  <c r="G639" i="6"/>
  <c r="F639" i="6"/>
  <c r="G638" i="6"/>
  <c r="F638" i="6"/>
  <c r="G637" i="6"/>
  <c r="F637" i="6"/>
  <c r="G636" i="6"/>
  <c r="F636" i="6"/>
  <c r="G635" i="6"/>
  <c r="G634" i="6"/>
  <c r="G633" i="6"/>
  <c r="F633" i="6"/>
  <c r="G632" i="6"/>
  <c r="F632" i="6"/>
  <c r="G631" i="6"/>
  <c r="F631" i="6"/>
  <c r="G630" i="6"/>
  <c r="F630" i="6"/>
  <c r="G629" i="6"/>
  <c r="F629" i="6"/>
  <c r="G628" i="6"/>
  <c r="G627" i="6"/>
  <c r="G626" i="6"/>
  <c r="G625" i="6"/>
  <c r="G624" i="6"/>
  <c r="G623" i="6"/>
  <c r="G622" i="6"/>
  <c r="G621" i="6"/>
  <c r="G620" i="6"/>
  <c r="G619" i="6"/>
  <c r="G618" i="6"/>
  <c r="F618" i="6"/>
  <c r="G616" i="6"/>
  <c r="F616" i="6"/>
  <c r="G615" i="6"/>
  <c r="F615" i="6"/>
  <c r="G614" i="6"/>
  <c r="F614" i="6"/>
  <c r="G613" i="6"/>
  <c r="F613" i="6"/>
  <c r="G612" i="6"/>
  <c r="F612" i="6"/>
  <c r="G610" i="6"/>
  <c r="G609" i="6"/>
  <c r="G608" i="6"/>
  <c r="G606" i="6"/>
  <c r="G605" i="6"/>
  <c r="F605" i="6"/>
  <c r="G604" i="6"/>
  <c r="F604" i="6"/>
  <c r="G603" i="6"/>
  <c r="F603" i="6"/>
  <c r="G601" i="6"/>
  <c r="G600" i="6"/>
  <c r="G599" i="6"/>
  <c r="G597" i="6"/>
  <c r="F597" i="6"/>
  <c r="G596" i="6"/>
  <c r="F596" i="6"/>
  <c r="G595" i="6"/>
  <c r="F595" i="6"/>
  <c r="G593" i="6"/>
  <c r="F593" i="6"/>
  <c r="G592" i="6"/>
  <c r="F592" i="6"/>
  <c r="G591" i="6"/>
  <c r="F591" i="6"/>
  <c r="G588" i="6"/>
  <c r="F588" i="6"/>
  <c r="G587" i="6"/>
  <c r="F587" i="6"/>
  <c r="G586" i="6"/>
  <c r="F586" i="6"/>
  <c r="G585" i="6"/>
  <c r="F585" i="6"/>
  <c r="G584" i="6"/>
  <c r="F584" i="6"/>
  <c r="G583" i="6"/>
  <c r="F583" i="6"/>
  <c r="G582" i="6"/>
  <c r="F582" i="6"/>
  <c r="G581" i="6"/>
  <c r="F581" i="6"/>
  <c r="G580" i="6"/>
  <c r="F580" i="6"/>
  <c r="G579" i="6"/>
  <c r="F579" i="6"/>
  <c r="G578" i="6"/>
  <c r="F578" i="6"/>
  <c r="G576" i="6"/>
  <c r="F576" i="6"/>
  <c r="G575" i="6"/>
  <c r="F575" i="6"/>
  <c r="G574" i="6"/>
  <c r="F574" i="6"/>
  <c r="G573" i="6"/>
  <c r="F573" i="6"/>
  <c r="G572" i="6"/>
  <c r="F572" i="6"/>
  <c r="G571" i="6"/>
  <c r="F571" i="6"/>
  <c r="G570" i="6"/>
  <c r="F570" i="6"/>
  <c r="G569" i="6"/>
  <c r="F569" i="6"/>
  <c r="G568" i="6"/>
  <c r="F568" i="6"/>
  <c r="G567" i="6"/>
  <c r="F567" i="6"/>
  <c r="G566" i="6"/>
  <c r="F566" i="6"/>
  <c r="G565" i="6"/>
  <c r="F565" i="6"/>
  <c r="G564" i="6"/>
  <c r="F564" i="6"/>
  <c r="G563" i="6"/>
  <c r="F563" i="6"/>
  <c r="G562" i="6"/>
  <c r="F562" i="6"/>
  <c r="G561" i="6"/>
  <c r="F561" i="6"/>
  <c r="G560" i="6"/>
  <c r="F560" i="6"/>
  <c r="G559" i="6"/>
  <c r="F559" i="6"/>
  <c r="G558" i="6"/>
  <c r="F558" i="6"/>
  <c r="G557" i="6"/>
  <c r="F557" i="6"/>
  <c r="G556" i="6"/>
  <c r="F556" i="6"/>
  <c r="G555" i="6"/>
  <c r="F555" i="6"/>
  <c r="G554" i="6"/>
  <c r="F554" i="6"/>
  <c r="G553" i="6"/>
  <c r="F553" i="6"/>
  <c r="G552" i="6"/>
  <c r="F552" i="6"/>
  <c r="G551" i="6"/>
  <c r="F551" i="6"/>
  <c r="G550" i="6"/>
  <c r="F550" i="6"/>
  <c r="G549" i="6"/>
  <c r="F549" i="6"/>
  <c r="G548" i="6"/>
  <c r="F548" i="6"/>
  <c r="G547" i="6"/>
  <c r="F547" i="6"/>
  <c r="G546" i="6"/>
  <c r="F546" i="6"/>
  <c r="G545" i="6"/>
  <c r="F545" i="6"/>
  <c r="G544" i="6"/>
  <c r="F544" i="6"/>
  <c r="G543" i="6"/>
  <c r="F543" i="6"/>
  <c r="G542" i="6"/>
  <c r="F542" i="6"/>
  <c r="G541" i="6"/>
  <c r="F541" i="6"/>
  <c r="G540" i="6"/>
  <c r="F540" i="6"/>
  <c r="G539" i="6"/>
  <c r="F539" i="6"/>
  <c r="G538" i="6"/>
  <c r="F538" i="6"/>
  <c r="G537" i="6"/>
  <c r="F537" i="6"/>
  <c r="G536" i="6"/>
  <c r="F536" i="6"/>
  <c r="G535" i="6"/>
  <c r="F535" i="6"/>
  <c r="G534" i="6"/>
  <c r="F534" i="6"/>
  <c r="G533" i="6"/>
  <c r="F533" i="6"/>
  <c r="G532" i="6"/>
  <c r="F532" i="6"/>
  <c r="G531" i="6"/>
  <c r="F531" i="6"/>
  <c r="G530" i="6"/>
  <c r="F530" i="6"/>
  <c r="G529" i="6"/>
  <c r="F529" i="6"/>
  <c r="G528" i="6"/>
  <c r="F528" i="6"/>
  <c r="G526" i="6"/>
  <c r="F526" i="6"/>
  <c r="G525" i="6"/>
  <c r="F525" i="6"/>
  <c r="G524" i="6"/>
  <c r="F524" i="6"/>
  <c r="G523" i="6"/>
  <c r="F523" i="6"/>
  <c r="G522" i="6"/>
  <c r="F522" i="6"/>
  <c r="G521" i="6"/>
  <c r="F521" i="6"/>
  <c r="G520" i="6"/>
  <c r="F520" i="6"/>
  <c r="G519" i="6"/>
  <c r="F519" i="6"/>
  <c r="G518" i="6"/>
  <c r="G517" i="6"/>
  <c r="G516" i="6"/>
  <c r="F516" i="6"/>
  <c r="G515" i="6"/>
  <c r="F515" i="6"/>
  <c r="G514" i="6"/>
  <c r="F514" i="6"/>
  <c r="G513" i="6"/>
  <c r="F513" i="6"/>
  <c r="G512" i="6"/>
  <c r="F512" i="6"/>
  <c r="G511" i="6"/>
  <c r="F511" i="6"/>
  <c r="G510" i="6"/>
  <c r="F510" i="6"/>
  <c r="G509" i="6"/>
  <c r="F509" i="6"/>
  <c r="G508" i="6"/>
  <c r="G506" i="6"/>
  <c r="F506" i="6"/>
  <c r="G505" i="6"/>
  <c r="F505" i="6"/>
  <c r="G504" i="6"/>
  <c r="F504" i="6"/>
  <c r="G503" i="6"/>
  <c r="F503" i="6"/>
  <c r="G502" i="6"/>
  <c r="F502" i="6"/>
  <c r="G501" i="6"/>
  <c r="F501" i="6"/>
  <c r="G500" i="6"/>
  <c r="F500" i="6"/>
  <c r="G499" i="6"/>
  <c r="F499" i="6"/>
  <c r="G498" i="6"/>
  <c r="F498" i="6"/>
  <c r="G497" i="6"/>
  <c r="G494" i="6"/>
  <c r="F494" i="6"/>
  <c r="G493" i="6"/>
  <c r="F493" i="6"/>
  <c r="G492" i="6"/>
  <c r="F492" i="6"/>
  <c r="G491" i="6"/>
  <c r="F491" i="6"/>
  <c r="G490" i="6"/>
  <c r="F490" i="6"/>
  <c r="G489" i="6"/>
  <c r="F489" i="6"/>
  <c r="G488" i="6"/>
  <c r="F488" i="6"/>
  <c r="G487" i="6"/>
  <c r="F487" i="6"/>
  <c r="G486" i="6"/>
  <c r="F486" i="6"/>
  <c r="G485" i="6"/>
  <c r="F485" i="6"/>
  <c r="G484" i="6"/>
  <c r="F484" i="6"/>
  <c r="G483" i="6"/>
  <c r="F483" i="6"/>
  <c r="G482" i="6"/>
  <c r="F482" i="6"/>
  <c r="G481" i="6"/>
  <c r="F481" i="6"/>
  <c r="G480" i="6"/>
  <c r="F480" i="6"/>
  <c r="G479" i="6"/>
  <c r="F479" i="6"/>
  <c r="G478" i="6"/>
  <c r="F478" i="6"/>
  <c r="G477" i="6"/>
  <c r="F477" i="6"/>
  <c r="G476" i="6"/>
  <c r="F476" i="6"/>
  <c r="G475" i="6"/>
  <c r="F475" i="6"/>
  <c r="G474" i="6"/>
  <c r="F474" i="6"/>
  <c r="G473" i="6"/>
  <c r="F473" i="6"/>
  <c r="G472" i="6"/>
  <c r="F472" i="6"/>
  <c r="G471" i="6"/>
  <c r="F471" i="6"/>
  <c r="G470" i="6"/>
  <c r="F470" i="6"/>
  <c r="G469" i="6"/>
  <c r="F469" i="6"/>
  <c r="G468" i="6"/>
  <c r="F468" i="6"/>
  <c r="G467" i="6"/>
  <c r="F467" i="6"/>
  <c r="G466" i="6"/>
  <c r="F466" i="6"/>
  <c r="G465" i="6"/>
  <c r="F465" i="6"/>
  <c r="G464" i="6"/>
  <c r="F464" i="6"/>
  <c r="G463" i="6"/>
  <c r="F463" i="6"/>
  <c r="G462" i="6"/>
  <c r="F462" i="6"/>
  <c r="G461" i="6"/>
  <c r="F461" i="6"/>
  <c r="G460" i="6"/>
  <c r="F460" i="6"/>
  <c r="G459" i="6"/>
  <c r="F459" i="6"/>
  <c r="G458" i="6"/>
  <c r="G457" i="6"/>
  <c r="G456" i="6"/>
  <c r="F456" i="6"/>
  <c r="G455" i="6"/>
  <c r="F455" i="6"/>
  <c r="G454" i="6"/>
  <c r="F454" i="6"/>
  <c r="G453" i="6"/>
  <c r="F453" i="6"/>
  <c r="G452" i="6"/>
  <c r="F452" i="6"/>
  <c r="G451" i="6"/>
  <c r="F451" i="6"/>
  <c r="G450" i="6"/>
  <c r="F450" i="6"/>
  <c r="G449" i="6"/>
  <c r="F449" i="6"/>
  <c r="G448" i="6"/>
  <c r="F448" i="6"/>
  <c r="G447" i="6"/>
  <c r="F447" i="6"/>
  <c r="G446" i="6"/>
  <c r="F446" i="6"/>
  <c r="G445" i="6"/>
  <c r="F445" i="6"/>
  <c r="G444" i="6"/>
  <c r="F444" i="6"/>
  <c r="G443" i="6"/>
  <c r="F443" i="6"/>
  <c r="G442" i="6"/>
  <c r="F442" i="6"/>
  <c r="G441" i="6"/>
  <c r="F441" i="6"/>
  <c r="G440" i="6"/>
  <c r="F440" i="6"/>
  <c r="G439" i="6"/>
  <c r="F439" i="6"/>
  <c r="G437" i="6"/>
  <c r="F437" i="6"/>
  <c r="G436" i="6"/>
  <c r="F436" i="6"/>
  <c r="G435" i="6"/>
  <c r="F435" i="6"/>
  <c r="G434" i="6"/>
  <c r="F434" i="6"/>
  <c r="G433" i="6"/>
  <c r="F433" i="6"/>
  <c r="G432" i="6"/>
  <c r="F432" i="6"/>
  <c r="G431" i="6"/>
  <c r="F431" i="6"/>
  <c r="G430" i="6"/>
  <c r="F430" i="6"/>
  <c r="G429" i="6"/>
  <c r="F429" i="6"/>
  <c r="G428" i="6"/>
  <c r="F428" i="6"/>
  <c r="G427" i="6"/>
  <c r="F427" i="6"/>
  <c r="G426" i="6"/>
  <c r="F426" i="6"/>
  <c r="G425" i="6"/>
  <c r="F425" i="6"/>
  <c r="G424" i="6"/>
  <c r="F424" i="6"/>
  <c r="G423" i="6"/>
  <c r="F423" i="6"/>
  <c r="G422" i="6"/>
  <c r="F422" i="6"/>
  <c r="G421" i="6"/>
  <c r="F421" i="6"/>
  <c r="G420" i="6"/>
  <c r="F420" i="6"/>
  <c r="G419" i="6"/>
  <c r="F419" i="6"/>
  <c r="G418" i="6"/>
  <c r="F418" i="6"/>
  <c r="G417" i="6"/>
  <c r="F417" i="6"/>
  <c r="G416" i="6"/>
  <c r="F416" i="6"/>
  <c r="G415" i="6"/>
  <c r="F415" i="6"/>
  <c r="G414" i="6"/>
  <c r="F414" i="6"/>
  <c r="G413" i="6"/>
  <c r="F413" i="6"/>
  <c r="G412" i="6"/>
  <c r="F412" i="6"/>
  <c r="G411" i="6"/>
  <c r="F411" i="6"/>
  <c r="G410" i="6"/>
  <c r="F410" i="6"/>
  <c r="G409" i="6"/>
  <c r="F409" i="6"/>
  <c r="G408" i="6"/>
  <c r="F408" i="6"/>
  <c r="G407" i="6"/>
  <c r="F407" i="6"/>
  <c r="G406" i="6"/>
  <c r="F406" i="6"/>
  <c r="G405" i="6"/>
  <c r="F405" i="6"/>
  <c r="G404" i="6"/>
  <c r="F404" i="6"/>
  <c r="G403" i="6"/>
  <c r="F403" i="6"/>
  <c r="G402" i="6"/>
  <c r="F402" i="6"/>
  <c r="G401" i="6"/>
  <c r="F401" i="6"/>
  <c r="G400" i="6"/>
  <c r="F400" i="6"/>
  <c r="G399" i="6"/>
  <c r="F399" i="6"/>
  <c r="G398" i="6"/>
  <c r="F398" i="6"/>
  <c r="G397" i="6"/>
  <c r="F397" i="6"/>
  <c r="G396" i="6"/>
  <c r="F396" i="6"/>
  <c r="G395" i="6"/>
  <c r="F395" i="6"/>
  <c r="G394" i="6"/>
  <c r="F394" i="6"/>
  <c r="G393" i="6"/>
  <c r="F393" i="6"/>
  <c r="G392" i="6"/>
  <c r="F392" i="6"/>
  <c r="G391" i="6"/>
  <c r="F391" i="6"/>
  <c r="G390" i="6"/>
  <c r="F390" i="6"/>
  <c r="G389" i="6"/>
  <c r="F389" i="6"/>
  <c r="G388" i="6"/>
  <c r="F388" i="6"/>
  <c r="G387" i="6"/>
  <c r="F387" i="6"/>
  <c r="G386" i="6"/>
  <c r="F386" i="6"/>
  <c r="G385" i="6"/>
  <c r="F385" i="6"/>
  <c r="G384" i="6"/>
  <c r="F384" i="6"/>
  <c r="G383" i="6"/>
  <c r="F383" i="6"/>
  <c r="G382" i="6"/>
  <c r="F382" i="6"/>
  <c r="G381" i="6"/>
  <c r="F381" i="6"/>
  <c r="G380" i="6"/>
  <c r="F380" i="6"/>
  <c r="G379" i="6"/>
  <c r="F379" i="6"/>
  <c r="G378" i="6"/>
  <c r="F378" i="6"/>
  <c r="G377" i="6"/>
  <c r="F377" i="6"/>
  <c r="G376" i="6"/>
  <c r="F376" i="6"/>
  <c r="G375" i="6"/>
  <c r="F375" i="6"/>
  <c r="G374" i="6"/>
  <c r="F374" i="6"/>
  <c r="G373" i="6"/>
  <c r="F373" i="6"/>
  <c r="G372" i="6"/>
  <c r="F372" i="6"/>
  <c r="G371" i="6"/>
  <c r="F371" i="6"/>
  <c r="G370" i="6"/>
  <c r="F370" i="6"/>
  <c r="G369" i="6"/>
  <c r="F369" i="6"/>
  <c r="G368" i="6"/>
  <c r="F368" i="6"/>
  <c r="G367" i="6"/>
  <c r="F367" i="6"/>
  <c r="G366" i="6"/>
  <c r="F366" i="6"/>
  <c r="G365" i="6"/>
  <c r="F365" i="6"/>
  <c r="G364" i="6"/>
  <c r="F364" i="6"/>
  <c r="G363" i="6"/>
  <c r="F363" i="6"/>
  <c r="G362" i="6"/>
  <c r="F362" i="6"/>
  <c r="G361" i="6"/>
  <c r="F361" i="6"/>
  <c r="G360" i="6"/>
  <c r="F360" i="6"/>
  <c r="G359" i="6"/>
  <c r="F359" i="6"/>
  <c r="G358" i="6"/>
  <c r="F358" i="6"/>
  <c r="G357" i="6"/>
  <c r="F357" i="6"/>
  <c r="G356" i="6"/>
  <c r="F356" i="6"/>
  <c r="G355" i="6"/>
  <c r="F355" i="6"/>
  <c r="G354" i="6"/>
  <c r="F354" i="6"/>
  <c r="G353" i="6"/>
  <c r="F353" i="6"/>
  <c r="G352" i="6"/>
  <c r="F352" i="6"/>
  <c r="G351" i="6"/>
  <c r="F351" i="6"/>
  <c r="G350" i="6"/>
  <c r="F350" i="6"/>
  <c r="G349" i="6"/>
  <c r="F349" i="6"/>
  <c r="G348" i="6"/>
  <c r="F348" i="6"/>
  <c r="G347" i="6"/>
  <c r="F347" i="6"/>
  <c r="G346" i="6"/>
  <c r="F346" i="6"/>
  <c r="G345" i="6"/>
  <c r="F345" i="6"/>
  <c r="G344" i="6"/>
  <c r="F344" i="6"/>
  <c r="G343" i="6"/>
  <c r="F343" i="6"/>
  <c r="G342" i="6"/>
  <c r="F342" i="6"/>
  <c r="G341" i="6"/>
  <c r="F341" i="6"/>
  <c r="G340" i="6"/>
  <c r="F340" i="6"/>
  <c r="G339" i="6"/>
  <c r="F339" i="6"/>
  <c r="G338" i="6"/>
  <c r="F338" i="6"/>
  <c r="G337" i="6"/>
  <c r="F337" i="6"/>
  <c r="G336" i="6"/>
  <c r="F336" i="6"/>
  <c r="G335" i="6"/>
  <c r="F335" i="6"/>
  <c r="G334" i="6"/>
  <c r="G333" i="6"/>
  <c r="G332" i="6"/>
  <c r="G331" i="6"/>
  <c r="G330" i="6"/>
  <c r="F330" i="6"/>
  <c r="G329" i="6"/>
  <c r="F329" i="6"/>
  <c r="G328" i="6"/>
  <c r="G327" i="6"/>
  <c r="G326" i="6"/>
  <c r="G325" i="6"/>
  <c r="G324" i="6"/>
  <c r="G323" i="6"/>
  <c r="F323" i="6"/>
  <c r="G322" i="6"/>
  <c r="F322" i="6"/>
  <c r="G321" i="6"/>
  <c r="F321" i="6"/>
  <c r="G320" i="6"/>
  <c r="F320" i="6"/>
  <c r="G319" i="6"/>
  <c r="F319" i="6"/>
  <c r="G318" i="6"/>
  <c r="F318" i="6"/>
  <c r="G317" i="6"/>
  <c r="F317" i="6"/>
  <c r="G316" i="6"/>
  <c r="F316" i="6"/>
  <c r="G315" i="6"/>
  <c r="F315" i="6"/>
  <c r="G314" i="6"/>
  <c r="F314" i="6"/>
  <c r="G313" i="6"/>
  <c r="F313" i="6"/>
  <c r="G312" i="6"/>
  <c r="F312" i="6"/>
  <c r="G311" i="6"/>
  <c r="F311" i="6"/>
  <c r="G310" i="6"/>
  <c r="F310" i="6"/>
  <c r="G309" i="6"/>
  <c r="F309" i="6"/>
  <c r="G308" i="6"/>
  <c r="F308" i="6"/>
  <c r="G307" i="6"/>
  <c r="F307" i="6"/>
  <c r="G306" i="6"/>
  <c r="F306" i="6"/>
  <c r="G305" i="6"/>
  <c r="F305" i="6"/>
  <c r="G304" i="6"/>
  <c r="G303" i="6"/>
  <c r="F303" i="6"/>
  <c r="G302" i="6"/>
  <c r="F302" i="6"/>
  <c r="G301" i="6"/>
  <c r="F301" i="6"/>
  <c r="G300" i="6"/>
  <c r="F300" i="6"/>
  <c r="G299" i="6"/>
  <c r="F299" i="6"/>
  <c r="G298" i="6"/>
  <c r="F298" i="6"/>
  <c r="G297" i="6"/>
  <c r="F297" i="6"/>
  <c r="G296" i="6"/>
  <c r="F296" i="6"/>
  <c r="G295" i="6"/>
  <c r="F295" i="6"/>
  <c r="G294" i="6"/>
  <c r="F294" i="6"/>
  <c r="G293" i="6"/>
  <c r="F293" i="6"/>
  <c r="G292" i="6"/>
  <c r="F292" i="6"/>
  <c r="G291" i="6"/>
  <c r="F291" i="6"/>
  <c r="G290" i="6"/>
  <c r="F290" i="6"/>
  <c r="G289" i="6"/>
  <c r="F289" i="6"/>
  <c r="G288" i="6"/>
  <c r="F288" i="6"/>
  <c r="G287" i="6"/>
  <c r="G286" i="6"/>
  <c r="F286" i="6"/>
  <c r="G285" i="6"/>
  <c r="F285" i="6"/>
  <c r="G284" i="6"/>
  <c r="F284" i="6"/>
  <c r="G283" i="6"/>
  <c r="F283" i="6"/>
  <c r="G282" i="6"/>
  <c r="F282" i="6"/>
  <c r="G281" i="6"/>
  <c r="F281" i="6"/>
  <c r="G280" i="6"/>
  <c r="F280" i="6"/>
  <c r="G279" i="6"/>
  <c r="F279" i="6"/>
  <c r="G278" i="6"/>
  <c r="F278" i="6"/>
  <c r="G277" i="6"/>
  <c r="F277" i="6"/>
  <c r="G276" i="6"/>
  <c r="F276" i="6"/>
  <c r="G275" i="6"/>
  <c r="F275" i="6"/>
  <c r="G274" i="6"/>
  <c r="F274" i="6"/>
  <c r="G273" i="6"/>
  <c r="F273" i="6"/>
  <c r="G272" i="6"/>
  <c r="F272" i="6"/>
  <c r="G271" i="6"/>
  <c r="F271" i="6"/>
  <c r="G270" i="6"/>
  <c r="F270" i="6"/>
  <c r="G269" i="6"/>
  <c r="G268" i="6"/>
  <c r="F268" i="6"/>
  <c r="G267" i="6"/>
  <c r="F267" i="6"/>
  <c r="G266" i="6"/>
  <c r="G265" i="6"/>
  <c r="F265" i="6"/>
  <c r="G264" i="6"/>
  <c r="F264" i="6"/>
  <c r="G263" i="6"/>
  <c r="F263" i="6"/>
  <c r="G262" i="6"/>
  <c r="F262" i="6"/>
  <c r="G261" i="6"/>
  <c r="F261" i="6"/>
  <c r="G260" i="6"/>
  <c r="F260" i="6"/>
  <c r="G259" i="6"/>
  <c r="F259" i="6"/>
  <c r="G258" i="6"/>
  <c r="F258" i="6"/>
  <c r="G257" i="6"/>
  <c r="F257" i="6"/>
  <c r="G256" i="6"/>
  <c r="F256" i="6"/>
  <c r="G255" i="6"/>
  <c r="F255" i="6"/>
  <c r="G254" i="6"/>
  <c r="F254" i="6"/>
  <c r="G253" i="6"/>
  <c r="F253" i="6"/>
  <c r="G252" i="6"/>
  <c r="F252" i="6"/>
  <c r="G251" i="6"/>
  <c r="F251" i="6"/>
  <c r="G250" i="6"/>
  <c r="F250" i="6"/>
  <c r="G249" i="6"/>
  <c r="F249" i="6"/>
  <c r="G248" i="6"/>
  <c r="F248" i="6"/>
  <c r="G247" i="6"/>
  <c r="F247" i="6"/>
  <c r="G246" i="6"/>
  <c r="F246" i="6"/>
  <c r="G245" i="6"/>
  <c r="F245" i="6"/>
  <c r="G244" i="6"/>
  <c r="F244" i="6"/>
  <c r="G243" i="6"/>
  <c r="F243" i="6"/>
  <c r="G242" i="6"/>
  <c r="F242" i="6"/>
  <c r="G241" i="6"/>
  <c r="F241" i="6"/>
  <c r="G240" i="6"/>
  <c r="F240" i="6"/>
  <c r="G239" i="6"/>
  <c r="F239" i="6"/>
  <c r="G238" i="6"/>
  <c r="F238" i="6"/>
  <c r="G237" i="6"/>
  <c r="F237" i="6"/>
  <c r="G236" i="6"/>
  <c r="G235" i="6"/>
  <c r="F235" i="6"/>
  <c r="G234" i="6"/>
  <c r="F234" i="6"/>
  <c r="G233" i="6"/>
  <c r="F233" i="6"/>
  <c r="G232" i="6"/>
  <c r="F232" i="6"/>
  <c r="G231" i="6"/>
  <c r="F231" i="6"/>
  <c r="G230" i="6"/>
  <c r="F230" i="6"/>
  <c r="G229" i="6"/>
  <c r="F229" i="6"/>
  <c r="G228" i="6"/>
  <c r="F228" i="6"/>
  <c r="G227" i="6"/>
  <c r="F227" i="6"/>
  <c r="G226" i="6"/>
  <c r="F226" i="6"/>
  <c r="G225" i="6"/>
  <c r="G224" i="6"/>
  <c r="F224" i="6"/>
  <c r="G223" i="6"/>
  <c r="F223" i="6"/>
  <c r="G222" i="6"/>
  <c r="F222" i="6"/>
  <c r="G221" i="6"/>
  <c r="G220" i="6"/>
  <c r="F220" i="6"/>
  <c r="G219" i="6"/>
  <c r="F219" i="6"/>
  <c r="G218" i="6"/>
  <c r="F218" i="6"/>
  <c r="G217" i="6"/>
  <c r="F217" i="6"/>
  <c r="G216" i="6"/>
  <c r="G215" i="6"/>
  <c r="G214" i="6"/>
  <c r="G213" i="6"/>
  <c r="F213" i="6"/>
  <c r="G212" i="6"/>
  <c r="F212" i="6"/>
  <c r="G211" i="6"/>
  <c r="F211" i="6"/>
  <c r="G210" i="6"/>
  <c r="F210" i="6"/>
  <c r="G209" i="6"/>
  <c r="F209" i="6"/>
  <c r="G208" i="6"/>
  <c r="F208" i="6"/>
  <c r="G207" i="6"/>
  <c r="F207" i="6"/>
  <c r="G206" i="6"/>
  <c r="F206" i="6"/>
  <c r="G205" i="6"/>
  <c r="F205" i="6"/>
  <c r="G204" i="6"/>
  <c r="F204" i="6"/>
  <c r="G203" i="6"/>
  <c r="F203" i="6"/>
  <c r="G202" i="6"/>
  <c r="F202" i="6"/>
  <c r="G201" i="6"/>
  <c r="F201" i="6"/>
  <c r="G200" i="6"/>
  <c r="F200" i="6"/>
  <c r="G199" i="6"/>
  <c r="F199" i="6"/>
  <c r="G198" i="6"/>
  <c r="F198" i="6"/>
  <c r="G197" i="6"/>
  <c r="F197" i="6"/>
  <c r="G196" i="6"/>
  <c r="F196" i="6"/>
  <c r="G195" i="6"/>
  <c r="F195" i="6"/>
  <c r="G194" i="6"/>
  <c r="F194" i="6"/>
  <c r="G193" i="6"/>
  <c r="F193" i="6"/>
  <c r="G192" i="6"/>
  <c r="F192" i="6"/>
  <c r="G191" i="6"/>
  <c r="F191" i="6"/>
  <c r="G190" i="6"/>
  <c r="F190" i="6"/>
  <c r="G189" i="6"/>
  <c r="F189" i="6"/>
  <c r="G188" i="6"/>
  <c r="F188" i="6"/>
  <c r="G187" i="6"/>
  <c r="G186" i="6"/>
  <c r="F186" i="6"/>
  <c r="G185" i="6"/>
  <c r="F185" i="6"/>
  <c r="G184" i="6"/>
  <c r="F184" i="6"/>
  <c r="G183" i="6"/>
  <c r="F183" i="6"/>
  <c r="G182" i="6"/>
  <c r="F182" i="6"/>
  <c r="G181" i="6"/>
  <c r="F181" i="6"/>
  <c r="G180" i="6"/>
  <c r="F180" i="6"/>
  <c r="G179" i="6"/>
  <c r="F179" i="6"/>
  <c r="G178" i="6"/>
  <c r="F178" i="6"/>
  <c r="G177" i="6"/>
  <c r="F177" i="6"/>
  <c r="G176" i="6"/>
  <c r="F176" i="6"/>
  <c r="G175" i="6"/>
  <c r="F175" i="6"/>
  <c r="G174" i="6"/>
  <c r="F174" i="6"/>
  <c r="G173" i="6"/>
  <c r="F173" i="6"/>
  <c r="G172" i="6"/>
  <c r="F172" i="6"/>
  <c r="G171" i="6"/>
  <c r="F171" i="6"/>
  <c r="G170" i="6"/>
  <c r="F170" i="6"/>
  <c r="G169" i="6"/>
  <c r="F169" i="6"/>
  <c r="G168" i="6"/>
  <c r="F168" i="6"/>
  <c r="G167" i="6"/>
  <c r="G166" i="6"/>
  <c r="F166" i="6"/>
  <c r="G165" i="6"/>
  <c r="F165" i="6"/>
  <c r="G164" i="6"/>
  <c r="F164" i="6"/>
  <c r="G163" i="6"/>
  <c r="F163" i="6"/>
  <c r="G162" i="6"/>
  <c r="F162" i="6"/>
  <c r="G161" i="6"/>
  <c r="F161" i="6"/>
  <c r="G160" i="6"/>
  <c r="F160" i="6"/>
  <c r="G159" i="6"/>
  <c r="F159" i="6"/>
  <c r="G158" i="6"/>
  <c r="F158" i="6"/>
  <c r="G157" i="6"/>
  <c r="F157" i="6"/>
  <c r="G156" i="6"/>
  <c r="F156" i="6"/>
  <c r="G155" i="6"/>
  <c r="G154" i="6"/>
  <c r="F154" i="6"/>
  <c r="G153" i="6"/>
  <c r="F153" i="6"/>
  <c r="G152" i="6"/>
  <c r="F152" i="6"/>
  <c r="G151" i="6"/>
  <c r="F151" i="6"/>
  <c r="G150" i="6"/>
  <c r="F150" i="6"/>
  <c r="G149" i="6"/>
  <c r="F149" i="6"/>
  <c r="G148" i="6"/>
  <c r="F148" i="6"/>
  <c r="G147" i="6"/>
  <c r="F147" i="6"/>
  <c r="G146" i="6"/>
  <c r="F146" i="6"/>
  <c r="G145" i="6"/>
  <c r="F145" i="6"/>
  <c r="G144" i="6"/>
  <c r="G143" i="6"/>
  <c r="F143" i="6"/>
  <c r="G142" i="6"/>
  <c r="F142" i="6"/>
  <c r="G141" i="6"/>
  <c r="F141" i="6"/>
  <c r="G140" i="6"/>
  <c r="F140" i="6"/>
  <c r="G139" i="6"/>
  <c r="G138" i="6"/>
  <c r="G137" i="6"/>
  <c r="F137" i="6"/>
  <c r="G136" i="6"/>
  <c r="F136" i="6"/>
  <c r="G135" i="6"/>
  <c r="F135" i="6"/>
  <c r="G134" i="6"/>
  <c r="F134" i="6"/>
  <c r="G133" i="6"/>
  <c r="F133" i="6"/>
  <c r="G132" i="6"/>
  <c r="F132" i="6"/>
  <c r="G131" i="6"/>
  <c r="F131" i="6"/>
  <c r="G130" i="6"/>
  <c r="F130" i="6"/>
  <c r="G129" i="6"/>
  <c r="F129" i="6"/>
  <c r="G128" i="6"/>
  <c r="F128" i="6"/>
  <c r="G127" i="6"/>
  <c r="F127" i="6"/>
  <c r="G126" i="6"/>
  <c r="G125" i="6"/>
  <c r="F125" i="6"/>
  <c r="G124" i="6"/>
  <c r="F124" i="6"/>
  <c r="G123" i="6"/>
  <c r="F123" i="6"/>
  <c r="G122" i="6"/>
  <c r="F122" i="6"/>
  <c r="G121" i="6"/>
  <c r="F121" i="6"/>
  <c r="G120" i="6"/>
  <c r="F120" i="6"/>
  <c r="G119" i="6"/>
  <c r="F119" i="6"/>
  <c r="G118" i="6"/>
  <c r="F118" i="6"/>
  <c r="G117" i="6"/>
  <c r="F117" i="6"/>
  <c r="G116" i="6"/>
  <c r="F116" i="6"/>
  <c r="G115" i="6"/>
  <c r="F115" i="6"/>
  <c r="G114" i="6"/>
  <c r="F114" i="6"/>
  <c r="G113" i="6"/>
  <c r="F113" i="6"/>
  <c r="G112" i="6"/>
  <c r="F112" i="6"/>
  <c r="G111" i="6"/>
  <c r="F111" i="6"/>
  <c r="G110" i="6"/>
  <c r="F110" i="6"/>
  <c r="G109" i="6"/>
  <c r="F109" i="6"/>
  <c r="G108" i="6"/>
  <c r="F108" i="6"/>
  <c r="G107" i="6"/>
  <c r="F107" i="6"/>
  <c r="G106" i="6"/>
  <c r="F106" i="6"/>
  <c r="G105" i="6"/>
  <c r="F105" i="6"/>
  <c r="G104" i="6"/>
  <c r="F104" i="6"/>
  <c r="G103" i="6"/>
  <c r="F103" i="6"/>
  <c r="G102" i="6"/>
  <c r="F102" i="6"/>
  <c r="G101" i="6"/>
  <c r="F101" i="6"/>
  <c r="G100" i="6"/>
  <c r="F100" i="6"/>
  <c r="G99" i="6"/>
  <c r="F99" i="6"/>
  <c r="G98" i="6"/>
  <c r="F98" i="6"/>
  <c r="G97" i="6"/>
  <c r="G96" i="6"/>
  <c r="F96" i="6"/>
  <c r="G95" i="6"/>
  <c r="F95" i="6"/>
  <c r="G94" i="6"/>
  <c r="F94" i="6"/>
  <c r="G93" i="6"/>
  <c r="G91" i="6"/>
  <c r="F91" i="6"/>
  <c r="G90" i="6"/>
  <c r="F90" i="6"/>
  <c r="G89" i="6"/>
  <c r="F89" i="6"/>
  <c r="G88" i="6"/>
  <c r="F88" i="6"/>
  <c r="G87" i="6"/>
  <c r="F87" i="6"/>
  <c r="G86" i="6"/>
  <c r="F86" i="6"/>
  <c r="G85" i="6"/>
  <c r="F85" i="6"/>
  <c r="G84" i="6"/>
  <c r="F84" i="6"/>
  <c r="G83" i="6"/>
  <c r="F83" i="6"/>
  <c r="G82" i="6"/>
  <c r="F82" i="6"/>
  <c r="G81" i="6"/>
  <c r="F81" i="6"/>
  <c r="G80" i="6"/>
  <c r="F80" i="6"/>
  <c r="G79" i="6"/>
  <c r="F79" i="6"/>
  <c r="G78" i="6"/>
  <c r="F78" i="6"/>
  <c r="G77" i="6"/>
  <c r="F77" i="6"/>
  <c r="G76" i="6"/>
  <c r="F76" i="6"/>
  <c r="G75" i="6"/>
  <c r="F75" i="6"/>
  <c r="G74" i="6"/>
  <c r="F74" i="6"/>
  <c r="G73" i="6"/>
  <c r="F73" i="6"/>
  <c r="G72" i="6"/>
  <c r="F72" i="6"/>
  <c r="G71" i="6"/>
  <c r="F71" i="6"/>
  <c r="G70" i="6"/>
  <c r="F70" i="6"/>
  <c r="G69" i="6"/>
  <c r="F69" i="6"/>
  <c r="G68" i="6"/>
  <c r="F68" i="6"/>
  <c r="G67" i="6"/>
  <c r="F67" i="6"/>
  <c r="G66" i="6"/>
  <c r="F66" i="6"/>
  <c r="G65" i="6"/>
  <c r="F65" i="6"/>
  <c r="G64" i="6"/>
  <c r="F64" i="6"/>
  <c r="G63" i="6"/>
  <c r="F63" i="6"/>
  <c r="G62" i="6"/>
  <c r="F62" i="6"/>
  <c r="G61" i="6"/>
  <c r="F61" i="6"/>
  <c r="G60" i="6"/>
  <c r="F60" i="6"/>
  <c r="G59" i="6"/>
  <c r="F59" i="6"/>
  <c r="G58" i="6"/>
  <c r="F58" i="6"/>
  <c r="G57" i="6"/>
  <c r="F57" i="6"/>
  <c r="G56" i="6"/>
  <c r="F56" i="6"/>
  <c r="G55" i="6"/>
  <c r="F55" i="6"/>
  <c r="G54" i="6"/>
  <c r="F54" i="6"/>
  <c r="G53" i="6"/>
  <c r="F53" i="6"/>
  <c r="G52" i="6"/>
  <c r="F52" i="6"/>
  <c r="G51" i="6"/>
  <c r="F51" i="6"/>
  <c r="G50" i="6"/>
  <c r="F50" i="6"/>
  <c r="G49" i="6"/>
  <c r="F49" i="6"/>
  <c r="G48" i="6"/>
  <c r="F48" i="6"/>
  <c r="G47" i="6"/>
  <c r="F47" i="6"/>
  <c r="G46" i="6"/>
  <c r="F46" i="6"/>
  <c r="G45" i="6"/>
  <c r="F45" i="6"/>
  <c r="G44" i="6"/>
  <c r="F44" i="6"/>
  <c r="G43" i="6"/>
  <c r="F43" i="6"/>
  <c r="G42" i="6"/>
  <c r="F42" i="6"/>
  <c r="G41" i="6"/>
  <c r="F41" i="6"/>
  <c r="G40" i="6"/>
  <c r="F40" i="6"/>
  <c r="G39" i="6"/>
  <c r="F39" i="6"/>
  <c r="G38" i="6"/>
  <c r="F38" i="6"/>
  <c r="G37" i="6"/>
  <c r="F37" i="6"/>
  <c r="G36" i="6"/>
  <c r="F36" i="6"/>
  <c r="G35" i="6"/>
  <c r="F35" i="6"/>
  <c r="G34" i="6"/>
  <c r="F34" i="6"/>
  <c r="G33" i="6"/>
  <c r="F33" i="6"/>
  <c r="G32" i="6"/>
  <c r="F32" i="6"/>
  <c r="G31" i="6"/>
  <c r="F31" i="6"/>
  <c r="G30" i="6"/>
  <c r="F30" i="6"/>
  <c r="G29" i="6"/>
  <c r="F29" i="6"/>
  <c r="G28" i="6"/>
  <c r="F28" i="6"/>
  <c r="G27" i="6"/>
  <c r="F27" i="6"/>
  <c r="G26" i="6"/>
  <c r="F26" i="6"/>
  <c r="G25" i="6"/>
  <c r="G24" i="6"/>
  <c r="F24" i="6"/>
  <c r="G23" i="6"/>
  <c r="F23" i="6"/>
  <c r="G22" i="6"/>
  <c r="F22" i="6"/>
  <c r="G21" i="6"/>
  <c r="F21" i="6"/>
  <c r="G20" i="6"/>
  <c r="F20" i="6"/>
  <c r="G19" i="6"/>
  <c r="F19" i="6"/>
  <c r="G18" i="6"/>
  <c r="F18" i="6"/>
  <c r="G17" i="6"/>
  <c r="F17" i="6"/>
  <c r="G16" i="6"/>
  <c r="F16" i="6"/>
  <c r="G15" i="6"/>
  <c r="F15" i="6"/>
  <c r="G14" i="6"/>
  <c r="F14" i="6"/>
  <c r="G13" i="6"/>
  <c r="F13" i="6"/>
  <c r="G12" i="6"/>
  <c r="F12" i="6"/>
  <c r="G11" i="6"/>
  <c r="F11" i="6"/>
  <c r="G10" i="6"/>
  <c r="F10" i="6"/>
  <c r="G9" i="6"/>
  <c r="F9" i="6"/>
  <c r="G8" i="6"/>
  <c r="C133" i="5"/>
  <c r="C131" i="5"/>
  <c r="C130" i="5"/>
  <c r="C129" i="5"/>
  <c r="C128" i="5"/>
  <c r="C187" i="5"/>
  <c r="C188" i="5"/>
  <c r="C569" i="5"/>
  <c r="C561" i="5"/>
  <c r="D561" i="5"/>
  <c r="E561" i="5"/>
  <c r="B561" i="5"/>
  <c r="C549" i="5"/>
  <c r="D549" i="5"/>
  <c r="E549" i="5"/>
  <c r="B549" i="5"/>
  <c r="C538" i="5"/>
  <c r="D538" i="5"/>
  <c r="E538" i="5"/>
  <c r="B538" i="5"/>
  <c r="C527" i="5"/>
  <c r="D527" i="5"/>
  <c r="E527" i="5"/>
  <c r="B527" i="5"/>
  <c r="C495" i="5"/>
  <c r="C333" i="5"/>
  <c r="C329" i="5"/>
  <c r="C340" i="5"/>
  <c r="C330" i="5" s="1"/>
  <c r="C339" i="5"/>
  <c r="G598" i="6" l="1"/>
  <c r="B594" i="6"/>
  <c r="G594" i="6" s="1"/>
  <c r="E6" i="6"/>
  <c r="G507" i="6"/>
  <c r="F594" i="6"/>
  <c r="F507" i="6"/>
  <c r="E589" i="6"/>
  <c r="G496" i="6"/>
  <c r="F304" i="6"/>
  <c r="F187" i="6"/>
  <c r="F93" i="6"/>
  <c r="F126" i="6"/>
  <c r="F7" i="6"/>
  <c r="F8" i="6"/>
  <c r="C325" i="6"/>
  <c r="C457" i="6"/>
  <c r="F508" i="6"/>
  <c r="C496" i="6"/>
  <c r="F496" i="6" s="1"/>
  <c r="F518" i="6"/>
  <c r="E495" i="6"/>
  <c r="B495" i="6"/>
  <c r="B6" i="6" s="1"/>
  <c r="D495" i="6"/>
  <c r="D6" i="6" s="1"/>
  <c r="G6" i="6" s="1"/>
  <c r="D590" i="6"/>
  <c r="D589" i="6" s="1"/>
  <c r="B590" i="6"/>
  <c r="B589" i="6" s="1"/>
  <c r="F589" i="6"/>
  <c r="G607" i="6"/>
  <c r="F617" i="6"/>
  <c r="G617" i="6"/>
  <c r="G611" i="6"/>
  <c r="G602" i="6"/>
  <c r="G577" i="6"/>
  <c r="G527" i="6"/>
  <c r="F527" i="6"/>
  <c r="G438" i="6"/>
  <c r="G92" i="6"/>
  <c r="G7" i="6"/>
  <c r="B526" i="5"/>
  <c r="E526" i="5"/>
  <c r="D526" i="5"/>
  <c r="C526" i="5"/>
  <c r="F325" i="6" l="1"/>
  <c r="C324" i="6"/>
  <c r="F324" i="6" s="1"/>
  <c r="F457" i="6"/>
  <c r="C438" i="6"/>
  <c r="F438" i="6" s="1"/>
  <c r="C495" i="6"/>
  <c r="F495" i="6" s="1"/>
  <c r="G495" i="6"/>
  <c r="G589" i="6"/>
  <c r="G590" i="6"/>
  <c r="C511" i="5"/>
  <c r="F511" i="5" s="1"/>
  <c r="C513" i="5"/>
  <c r="C331" i="5"/>
  <c r="F330" i="5"/>
  <c r="C328" i="5"/>
  <c r="C327" i="5"/>
  <c r="F327" i="5" s="1"/>
  <c r="C326" i="5"/>
  <c r="C325" i="5"/>
  <c r="C324" i="5"/>
  <c r="C189" i="5"/>
  <c r="C191" i="5"/>
  <c r="C192" i="5"/>
  <c r="F192" i="5" s="1"/>
  <c r="C193" i="5"/>
  <c r="F193" i="5" s="1"/>
  <c r="C194" i="5"/>
  <c r="C195" i="5"/>
  <c r="F194" i="5"/>
  <c r="C198" i="5"/>
  <c r="F198" i="5" s="1"/>
  <c r="C197" i="5"/>
  <c r="F197" i="5" s="1"/>
  <c r="F195" i="5"/>
  <c r="F189" i="5"/>
  <c r="F188" i="5"/>
  <c r="D322" i="5"/>
  <c r="E322" i="5"/>
  <c r="B322" i="5"/>
  <c r="C285" i="5"/>
  <c r="D285" i="5"/>
  <c r="E285" i="5"/>
  <c r="B285" i="5"/>
  <c r="C214" i="5"/>
  <c r="D214" i="5"/>
  <c r="E214" i="5"/>
  <c r="B214" i="5"/>
  <c r="D138" i="5"/>
  <c r="G138" i="5" s="1"/>
  <c r="E138" i="5"/>
  <c r="B138" i="5"/>
  <c r="D92" i="5"/>
  <c r="E92" i="5"/>
  <c r="B92" i="5"/>
  <c r="F128" i="5"/>
  <c r="C134" i="5"/>
  <c r="C135" i="5"/>
  <c r="F135" i="5" s="1"/>
  <c r="C136" i="5"/>
  <c r="C132" i="5"/>
  <c r="C127" i="5"/>
  <c r="C126" i="5"/>
  <c r="G648" i="5"/>
  <c r="F648" i="5"/>
  <c r="G647" i="5"/>
  <c r="F647" i="5"/>
  <c r="G646" i="5"/>
  <c r="F646" i="5"/>
  <c r="G645" i="5"/>
  <c r="F645" i="5"/>
  <c r="G644" i="5"/>
  <c r="F644" i="5"/>
  <c r="G643" i="5"/>
  <c r="G642" i="5"/>
  <c r="G641" i="5"/>
  <c r="F641" i="5"/>
  <c r="G640" i="5"/>
  <c r="F640" i="5"/>
  <c r="G639" i="5"/>
  <c r="F639" i="5"/>
  <c r="G638" i="5"/>
  <c r="F638" i="5"/>
  <c r="G637" i="5"/>
  <c r="F637" i="5"/>
  <c r="G636" i="5"/>
  <c r="G635" i="5"/>
  <c r="G634" i="5"/>
  <c r="G633" i="5"/>
  <c r="G632" i="5"/>
  <c r="G631" i="5"/>
  <c r="G630" i="5"/>
  <c r="G629" i="5"/>
  <c r="G628" i="5"/>
  <c r="G627" i="5"/>
  <c r="G626" i="5"/>
  <c r="F626" i="5"/>
  <c r="G625" i="5"/>
  <c r="E625" i="5"/>
  <c r="D625" i="5"/>
  <c r="C625" i="5"/>
  <c r="C603" i="5" s="1"/>
  <c r="B625" i="5"/>
  <c r="G624" i="5"/>
  <c r="G623" i="5"/>
  <c r="G622" i="5"/>
  <c r="F622" i="5"/>
  <c r="G621" i="5"/>
  <c r="F621" i="5"/>
  <c r="G620" i="5"/>
  <c r="F620" i="5"/>
  <c r="E619" i="5"/>
  <c r="D619" i="5"/>
  <c r="G619" i="5" s="1"/>
  <c r="C619" i="5"/>
  <c r="B619" i="5"/>
  <c r="G618" i="5"/>
  <c r="G617" i="5"/>
  <c r="G616" i="5"/>
  <c r="E615" i="5"/>
  <c r="D615" i="5"/>
  <c r="G615" i="5" s="1"/>
  <c r="C615" i="5"/>
  <c r="B615" i="5"/>
  <c r="G614" i="5"/>
  <c r="F614" i="5"/>
  <c r="G613" i="5"/>
  <c r="F613" i="5"/>
  <c r="G612" i="5"/>
  <c r="F612" i="5"/>
  <c r="E611" i="5"/>
  <c r="D611" i="5"/>
  <c r="D603" i="5" s="1"/>
  <c r="C611" i="5"/>
  <c r="B611" i="5"/>
  <c r="G610" i="5"/>
  <c r="G609" i="5"/>
  <c r="G608" i="5"/>
  <c r="F608" i="5"/>
  <c r="G607" i="5"/>
  <c r="F607" i="5"/>
  <c r="G606" i="5"/>
  <c r="F606" i="5"/>
  <c r="G605" i="5"/>
  <c r="F605" i="5"/>
  <c r="E604" i="5"/>
  <c r="E603" i="5" s="1"/>
  <c r="D604" i="5"/>
  <c r="C604" i="5"/>
  <c r="B604" i="5"/>
  <c r="B603" i="5" s="1"/>
  <c r="G602" i="5"/>
  <c r="G601" i="5"/>
  <c r="G600" i="5"/>
  <c r="F600" i="5"/>
  <c r="G599" i="5"/>
  <c r="F599" i="5"/>
  <c r="G598" i="5"/>
  <c r="F598" i="5"/>
  <c r="G597" i="5"/>
  <c r="F597" i="5"/>
  <c r="G596" i="5"/>
  <c r="F596" i="5"/>
  <c r="G595" i="5"/>
  <c r="F595" i="5"/>
  <c r="G594" i="5"/>
  <c r="F594" i="5"/>
  <c r="G593" i="5"/>
  <c r="F593" i="5"/>
  <c r="G592" i="5"/>
  <c r="F592" i="5"/>
  <c r="G591" i="5"/>
  <c r="F591" i="5"/>
  <c r="G590" i="5"/>
  <c r="F590" i="5"/>
  <c r="G589" i="5"/>
  <c r="F589" i="5"/>
  <c r="G588" i="5"/>
  <c r="F588" i="5"/>
  <c r="G587" i="5"/>
  <c r="F587" i="5"/>
  <c r="G586" i="5"/>
  <c r="F586" i="5"/>
  <c r="G585" i="5"/>
  <c r="F585" i="5"/>
  <c r="G584" i="5"/>
  <c r="F584" i="5"/>
  <c r="G583" i="5"/>
  <c r="G582" i="5"/>
  <c r="G581" i="5"/>
  <c r="F581" i="5"/>
  <c r="G580" i="5"/>
  <c r="F580" i="5"/>
  <c r="G579" i="5"/>
  <c r="F579" i="5"/>
  <c r="G578" i="5"/>
  <c r="F578" i="5"/>
  <c r="G577" i="5"/>
  <c r="F577" i="5"/>
  <c r="G576" i="5"/>
  <c r="F576" i="5"/>
  <c r="E575" i="5"/>
  <c r="D575" i="5"/>
  <c r="F575" i="5" s="1"/>
  <c r="C575" i="5"/>
  <c r="B575" i="5"/>
  <c r="G574" i="5"/>
  <c r="F574" i="5"/>
  <c r="G573" i="5"/>
  <c r="F573" i="5"/>
  <c r="G572" i="5"/>
  <c r="F572" i="5"/>
  <c r="G571" i="5"/>
  <c r="F571" i="5"/>
  <c r="G570" i="5"/>
  <c r="F570" i="5"/>
  <c r="G569" i="5"/>
  <c r="F569" i="5"/>
  <c r="G568" i="5"/>
  <c r="F568" i="5"/>
  <c r="G567" i="5"/>
  <c r="F567" i="5"/>
  <c r="G566" i="5"/>
  <c r="F566" i="5"/>
  <c r="G565" i="5"/>
  <c r="F565" i="5"/>
  <c r="G564" i="5"/>
  <c r="F564" i="5"/>
  <c r="G563" i="5"/>
  <c r="F563" i="5"/>
  <c r="G562" i="5"/>
  <c r="F562" i="5"/>
  <c r="G561" i="5"/>
  <c r="F561" i="5"/>
  <c r="G560" i="5"/>
  <c r="F560" i="5"/>
  <c r="G559" i="5"/>
  <c r="F559" i="5"/>
  <c r="G558" i="5"/>
  <c r="F558" i="5"/>
  <c r="G557" i="5"/>
  <c r="F557" i="5"/>
  <c r="G556" i="5"/>
  <c r="F556" i="5"/>
  <c r="G555" i="5"/>
  <c r="F555" i="5"/>
  <c r="G554" i="5"/>
  <c r="F554" i="5"/>
  <c r="G553" i="5"/>
  <c r="F553" i="5"/>
  <c r="G552" i="5"/>
  <c r="F552" i="5"/>
  <c r="G551" i="5"/>
  <c r="F551" i="5"/>
  <c r="G550" i="5"/>
  <c r="F550" i="5"/>
  <c r="G549" i="5"/>
  <c r="F549" i="5"/>
  <c r="G548" i="5"/>
  <c r="F548" i="5"/>
  <c r="G547" i="5"/>
  <c r="F547" i="5"/>
  <c r="G546" i="5"/>
  <c r="F546" i="5"/>
  <c r="G545" i="5"/>
  <c r="F545" i="5"/>
  <c r="G544" i="5"/>
  <c r="F544" i="5"/>
  <c r="G543" i="5"/>
  <c r="F543" i="5"/>
  <c r="G542" i="5"/>
  <c r="F542" i="5"/>
  <c r="G541" i="5"/>
  <c r="F541" i="5"/>
  <c r="G540" i="5"/>
  <c r="F540" i="5"/>
  <c r="G539" i="5"/>
  <c r="F539" i="5"/>
  <c r="G538" i="5"/>
  <c r="F538" i="5"/>
  <c r="G537" i="5"/>
  <c r="F537" i="5"/>
  <c r="G536" i="5"/>
  <c r="F536" i="5"/>
  <c r="G535" i="5"/>
  <c r="F535" i="5"/>
  <c r="G534" i="5"/>
  <c r="F534" i="5"/>
  <c r="G533" i="5"/>
  <c r="F533" i="5"/>
  <c r="G532" i="5"/>
  <c r="F532" i="5"/>
  <c r="G531" i="5"/>
  <c r="F531" i="5"/>
  <c r="G530" i="5"/>
  <c r="F530" i="5"/>
  <c r="G529" i="5"/>
  <c r="F529" i="5"/>
  <c r="G528" i="5"/>
  <c r="F528" i="5"/>
  <c r="G527" i="5"/>
  <c r="F527" i="5"/>
  <c r="G526" i="5"/>
  <c r="F526" i="5"/>
  <c r="E525" i="5"/>
  <c r="D525" i="5"/>
  <c r="F525" i="5" s="1"/>
  <c r="C525" i="5"/>
  <c r="B525" i="5"/>
  <c r="G524" i="5"/>
  <c r="F524" i="5"/>
  <c r="G523" i="5"/>
  <c r="F523" i="5"/>
  <c r="G522" i="5"/>
  <c r="F522" i="5"/>
  <c r="G521" i="5"/>
  <c r="F521" i="5"/>
  <c r="G520" i="5"/>
  <c r="F520" i="5"/>
  <c r="G519" i="5"/>
  <c r="F519" i="5"/>
  <c r="G518" i="5"/>
  <c r="F518" i="5"/>
  <c r="G517" i="5"/>
  <c r="F517" i="5"/>
  <c r="G516" i="5"/>
  <c r="C516" i="5"/>
  <c r="C515" i="5" s="1"/>
  <c r="F515" i="5" s="1"/>
  <c r="G515" i="5"/>
  <c r="G514" i="5"/>
  <c r="F514" i="5"/>
  <c r="G513" i="5"/>
  <c r="F513" i="5"/>
  <c r="G512" i="5"/>
  <c r="F512" i="5"/>
  <c r="G511" i="5"/>
  <c r="G510" i="5"/>
  <c r="F510" i="5"/>
  <c r="G509" i="5"/>
  <c r="F509" i="5"/>
  <c r="G508" i="5"/>
  <c r="F508" i="5"/>
  <c r="G507" i="5"/>
  <c r="F507" i="5"/>
  <c r="G506" i="5"/>
  <c r="C506" i="5"/>
  <c r="F506" i="5" s="1"/>
  <c r="G505" i="5"/>
  <c r="G504" i="5"/>
  <c r="G503" i="5"/>
  <c r="F503" i="5"/>
  <c r="G502" i="5"/>
  <c r="F502" i="5"/>
  <c r="G501" i="5"/>
  <c r="F501" i="5"/>
  <c r="G500" i="5"/>
  <c r="F500" i="5"/>
  <c r="G499" i="5"/>
  <c r="F499" i="5"/>
  <c r="G498" i="5"/>
  <c r="F498" i="5"/>
  <c r="G497" i="5"/>
  <c r="F497" i="5"/>
  <c r="G496" i="5"/>
  <c r="G495" i="5"/>
  <c r="G494" i="5"/>
  <c r="G493" i="5"/>
  <c r="E493" i="5"/>
  <c r="D493" i="5"/>
  <c r="B493" i="5"/>
  <c r="G492" i="5"/>
  <c r="F492" i="5"/>
  <c r="G491" i="5"/>
  <c r="F491" i="5"/>
  <c r="G490" i="5"/>
  <c r="F490" i="5"/>
  <c r="G489" i="5"/>
  <c r="F489" i="5"/>
  <c r="G488" i="5"/>
  <c r="F488" i="5"/>
  <c r="G487" i="5"/>
  <c r="F487" i="5"/>
  <c r="G486" i="5"/>
  <c r="F486" i="5"/>
  <c r="G485" i="5"/>
  <c r="F485" i="5"/>
  <c r="G484" i="5"/>
  <c r="F484" i="5"/>
  <c r="G483" i="5"/>
  <c r="F483" i="5"/>
  <c r="G482" i="5"/>
  <c r="F482" i="5"/>
  <c r="G481" i="5"/>
  <c r="F481" i="5"/>
  <c r="G480" i="5"/>
  <c r="F480" i="5"/>
  <c r="G479" i="5"/>
  <c r="F479" i="5"/>
  <c r="G478" i="5"/>
  <c r="F478" i="5"/>
  <c r="G477" i="5"/>
  <c r="F477" i="5"/>
  <c r="G476" i="5"/>
  <c r="F476" i="5"/>
  <c r="G475" i="5"/>
  <c r="F475" i="5"/>
  <c r="G474" i="5"/>
  <c r="F474" i="5"/>
  <c r="G473" i="5"/>
  <c r="F473" i="5"/>
  <c r="G472" i="5"/>
  <c r="F472" i="5"/>
  <c r="G471" i="5"/>
  <c r="F471" i="5"/>
  <c r="G470" i="5"/>
  <c r="F470" i="5"/>
  <c r="G469" i="5"/>
  <c r="F469" i="5"/>
  <c r="G468" i="5"/>
  <c r="F468" i="5"/>
  <c r="G467" i="5"/>
  <c r="F467" i="5"/>
  <c r="G466" i="5"/>
  <c r="F466" i="5"/>
  <c r="G465" i="5"/>
  <c r="F465" i="5"/>
  <c r="G464" i="5"/>
  <c r="F464" i="5"/>
  <c r="G463" i="5"/>
  <c r="F463" i="5"/>
  <c r="G462" i="5"/>
  <c r="F462" i="5"/>
  <c r="G461" i="5"/>
  <c r="F461" i="5"/>
  <c r="G460" i="5"/>
  <c r="F460" i="5"/>
  <c r="G459" i="5"/>
  <c r="F459" i="5"/>
  <c r="G458" i="5"/>
  <c r="F458" i="5"/>
  <c r="G457" i="5"/>
  <c r="F457" i="5"/>
  <c r="G456" i="5"/>
  <c r="C456" i="5"/>
  <c r="F456" i="5" s="1"/>
  <c r="G455" i="5"/>
  <c r="G454" i="5"/>
  <c r="F454" i="5"/>
  <c r="G453" i="5"/>
  <c r="F453" i="5"/>
  <c r="G452" i="5"/>
  <c r="F452" i="5"/>
  <c r="G451" i="5"/>
  <c r="F451" i="5"/>
  <c r="G450" i="5"/>
  <c r="G449" i="5"/>
  <c r="F449" i="5"/>
  <c r="G448" i="5"/>
  <c r="F448" i="5"/>
  <c r="G447" i="5"/>
  <c r="F447" i="5"/>
  <c r="G446" i="5"/>
  <c r="F446" i="5"/>
  <c r="G445" i="5"/>
  <c r="F445" i="5"/>
  <c r="G444" i="5"/>
  <c r="F444" i="5"/>
  <c r="G443" i="5"/>
  <c r="F443" i="5"/>
  <c r="G442" i="5"/>
  <c r="F442" i="5"/>
  <c r="G441" i="5"/>
  <c r="F441" i="5"/>
  <c r="G440" i="5"/>
  <c r="F440" i="5"/>
  <c r="G439" i="5"/>
  <c r="F439" i="5"/>
  <c r="G438" i="5"/>
  <c r="F438" i="5"/>
  <c r="G437" i="5"/>
  <c r="F437" i="5"/>
  <c r="G436" i="5"/>
  <c r="E436" i="5"/>
  <c r="D436" i="5"/>
  <c r="B436" i="5"/>
  <c r="G435" i="5"/>
  <c r="F435" i="5"/>
  <c r="G434" i="5"/>
  <c r="F434" i="5"/>
  <c r="G433" i="5"/>
  <c r="F433" i="5"/>
  <c r="G432" i="5"/>
  <c r="F432" i="5"/>
  <c r="G431" i="5"/>
  <c r="F431" i="5"/>
  <c r="G430" i="5"/>
  <c r="F430" i="5"/>
  <c r="G429" i="5"/>
  <c r="F429" i="5"/>
  <c r="G428" i="5"/>
  <c r="F428" i="5"/>
  <c r="G427" i="5"/>
  <c r="F427" i="5"/>
  <c r="G426" i="5"/>
  <c r="F426" i="5"/>
  <c r="G425" i="5"/>
  <c r="F425" i="5"/>
  <c r="G424" i="5"/>
  <c r="F424" i="5"/>
  <c r="G423" i="5"/>
  <c r="F423" i="5"/>
  <c r="G422" i="5"/>
  <c r="F422" i="5"/>
  <c r="G421" i="5"/>
  <c r="F421" i="5"/>
  <c r="G420" i="5"/>
  <c r="F420" i="5"/>
  <c r="G419" i="5"/>
  <c r="F419" i="5"/>
  <c r="G418" i="5"/>
  <c r="F418" i="5"/>
  <c r="G417" i="5"/>
  <c r="F417" i="5"/>
  <c r="G416" i="5"/>
  <c r="F416" i="5"/>
  <c r="G415" i="5"/>
  <c r="F415" i="5"/>
  <c r="G414" i="5"/>
  <c r="F414" i="5"/>
  <c r="G413" i="5"/>
  <c r="F413" i="5"/>
  <c r="G412" i="5"/>
  <c r="F412" i="5"/>
  <c r="G411" i="5"/>
  <c r="F411" i="5"/>
  <c r="G410" i="5"/>
  <c r="F410" i="5"/>
  <c r="G409" i="5"/>
  <c r="F409" i="5"/>
  <c r="G408" i="5"/>
  <c r="F408" i="5"/>
  <c r="G407" i="5"/>
  <c r="F407" i="5"/>
  <c r="G406" i="5"/>
  <c r="F406" i="5"/>
  <c r="G405" i="5"/>
  <c r="F405" i="5"/>
  <c r="G404" i="5"/>
  <c r="F404" i="5"/>
  <c r="G403" i="5"/>
  <c r="F403" i="5"/>
  <c r="G402" i="5"/>
  <c r="F402" i="5"/>
  <c r="G401" i="5"/>
  <c r="F401" i="5"/>
  <c r="G400" i="5"/>
  <c r="F400" i="5"/>
  <c r="G399" i="5"/>
  <c r="F399" i="5"/>
  <c r="G398" i="5"/>
  <c r="F398" i="5"/>
  <c r="G397" i="5"/>
  <c r="F397" i="5"/>
  <c r="G396" i="5"/>
  <c r="F396" i="5"/>
  <c r="G395" i="5"/>
  <c r="F395" i="5"/>
  <c r="G394" i="5"/>
  <c r="F394" i="5"/>
  <c r="G393" i="5"/>
  <c r="F393" i="5"/>
  <c r="G392" i="5"/>
  <c r="F392" i="5"/>
  <c r="G391" i="5"/>
  <c r="F391" i="5"/>
  <c r="G390" i="5"/>
  <c r="F390" i="5"/>
  <c r="G389" i="5"/>
  <c r="F389" i="5"/>
  <c r="G388" i="5"/>
  <c r="F388" i="5"/>
  <c r="G387" i="5"/>
  <c r="F387" i="5"/>
  <c r="G386" i="5"/>
  <c r="F386" i="5"/>
  <c r="G385" i="5"/>
  <c r="F385" i="5"/>
  <c r="G384" i="5"/>
  <c r="F384" i="5"/>
  <c r="G383" i="5"/>
  <c r="F383" i="5"/>
  <c r="G382" i="5"/>
  <c r="F382" i="5"/>
  <c r="G381" i="5"/>
  <c r="F381" i="5"/>
  <c r="G380" i="5"/>
  <c r="F380" i="5"/>
  <c r="G379" i="5"/>
  <c r="F379" i="5"/>
  <c r="G378" i="5"/>
  <c r="F378" i="5"/>
  <c r="G377" i="5"/>
  <c r="F377" i="5"/>
  <c r="G376" i="5"/>
  <c r="F376" i="5"/>
  <c r="G375" i="5"/>
  <c r="F375" i="5"/>
  <c r="G374" i="5"/>
  <c r="F374" i="5"/>
  <c r="G373" i="5"/>
  <c r="F373" i="5"/>
  <c r="G372" i="5"/>
  <c r="F372" i="5"/>
  <c r="G371" i="5"/>
  <c r="F371" i="5"/>
  <c r="G370" i="5"/>
  <c r="F370" i="5"/>
  <c r="G369" i="5"/>
  <c r="F369" i="5"/>
  <c r="G368" i="5"/>
  <c r="F368" i="5"/>
  <c r="G367" i="5"/>
  <c r="F367" i="5"/>
  <c r="G366" i="5"/>
  <c r="F366" i="5"/>
  <c r="G365" i="5"/>
  <c r="F365" i="5"/>
  <c r="G364" i="5"/>
  <c r="F364" i="5"/>
  <c r="G363" i="5"/>
  <c r="F363" i="5"/>
  <c r="G362" i="5"/>
  <c r="F362" i="5"/>
  <c r="G361" i="5"/>
  <c r="F361" i="5"/>
  <c r="G360" i="5"/>
  <c r="F360" i="5"/>
  <c r="G359" i="5"/>
  <c r="F359" i="5"/>
  <c r="G358" i="5"/>
  <c r="F358" i="5"/>
  <c r="G357" i="5"/>
  <c r="F357" i="5"/>
  <c r="G356" i="5"/>
  <c r="F356" i="5"/>
  <c r="G355" i="5"/>
  <c r="F355" i="5"/>
  <c r="G354" i="5"/>
  <c r="F354" i="5"/>
  <c r="G353" i="5"/>
  <c r="F353" i="5"/>
  <c r="G352" i="5"/>
  <c r="F352" i="5"/>
  <c r="G351" i="5"/>
  <c r="F351" i="5"/>
  <c r="G350" i="5"/>
  <c r="F350" i="5"/>
  <c r="G349" i="5"/>
  <c r="F349" i="5"/>
  <c r="G348" i="5"/>
  <c r="F348" i="5"/>
  <c r="G347" i="5"/>
  <c r="F347" i="5"/>
  <c r="G346" i="5"/>
  <c r="F346" i="5"/>
  <c r="G345" i="5"/>
  <c r="F345" i="5"/>
  <c r="G344" i="5"/>
  <c r="F344" i="5"/>
  <c r="G343" i="5"/>
  <c r="C343" i="5"/>
  <c r="C342" i="5" s="1"/>
  <c r="F342" i="5" s="1"/>
  <c r="G342" i="5"/>
  <c r="G341" i="5"/>
  <c r="F341" i="5"/>
  <c r="G340" i="5"/>
  <c r="F340" i="5"/>
  <c r="G339" i="5"/>
  <c r="F339" i="5"/>
  <c r="G338" i="5"/>
  <c r="F338" i="5"/>
  <c r="G337" i="5"/>
  <c r="F337" i="5"/>
  <c r="G336" i="5"/>
  <c r="F336" i="5"/>
  <c r="G335" i="5"/>
  <c r="F335" i="5"/>
  <c r="G334" i="5"/>
  <c r="F334" i="5"/>
  <c r="G333" i="5"/>
  <c r="F333" i="5"/>
  <c r="G332" i="5"/>
  <c r="G331" i="5"/>
  <c r="F331" i="5"/>
  <c r="G330" i="5"/>
  <c r="G329" i="5"/>
  <c r="F329" i="5"/>
  <c r="G328" i="5"/>
  <c r="F328" i="5"/>
  <c r="G327" i="5"/>
  <c r="G326" i="5"/>
  <c r="F326" i="5"/>
  <c r="G325" i="5"/>
  <c r="F325" i="5"/>
  <c r="G324" i="5"/>
  <c r="F324" i="5"/>
  <c r="G323" i="5"/>
  <c r="G321" i="5"/>
  <c r="F321" i="5"/>
  <c r="G320" i="5"/>
  <c r="F320" i="5"/>
  <c r="G319" i="5"/>
  <c r="F319" i="5"/>
  <c r="G318" i="5"/>
  <c r="F318" i="5"/>
  <c r="G317" i="5"/>
  <c r="F317" i="5"/>
  <c r="G316" i="5"/>
  <c r="F316" i="5"/>
  <c r="G315" i="5"/>
  <c r="F315" i="5"/>
  <c r="G314" i="5"/>
  <c r="F314" i="5"/>
  <c r="G313" i="5"/>
  <c r="F313" i="5"/>
  <c r="G312" i="5"/>
  <c r="F312" i="5"/>
  <c r="G311" i="5"/>
  <c r="F311" i="5"/>
  <c r="C311" i="5"/>
  <c r="G310" i="5"/>
  <c r="C310" i="5"/>
  <c r="F310" i="5" s="1"/>
  <c r="G309" i="5"/>
  <c r="C309" i="5"/>
  <c r="F309" i="5" s="1"/>
  <c r="G308" i="5"/>
  <c r="C308" i="5"/>
  <c r="F308" i="5" s="1"/>
  <c r="G307" i="5"/>
  <c r="F307" i="5"/>
  <c r="C307" i="5"/>
  <c r="G306" i="5"/>
  <c r="C306" i="5"/>
  <c r="F306" i="5" s="1"/>
  <c r="G305" i="5"/>
  <c r="C305" i="5"/>
  <c r="C302" i="5" s="1"/>
  <c r="F302" i="5" s="1"/>
  <c r="G304" i="5"/>
  <c r="C304" i="5"/>
  <c r="F304" i="5" s="1"/>
  <c r="G303" i="5"/>
  <c r="F303" i="5"/>
  <c r="C303" i="5"/>
  <c r="G302" i="5"/>
  <c r="G301" i="5"/>
  <c r="F301" i="5"/>
  <c r="G300" i="5"/>
  <c r="F300" i="5"/>
  <c r="G299" i="5"/>
  <c r="F299" i="5"/>
  <c r="G298" i="5"/>
  <c r="F298" i="5"/>
  <c r="G297" i="5"/>
  <c r="F297" i="5"/>
  <c r="G296" i="5"/>
  <c r="F296" i="5"/>
  <c r="G295" i="5"/>
  <c r="F295" i="5"/>
  <c r="G294" i="5"/>
  <c r="F294" i="5"/>
  <c r="G293" i="5"/>
  <c r="F293" i="5"/>
  <c r="G292" i="5"/>
  <c r="F292" i="5"/>
  <c r="G291" i="5"/>
  <c r="F291" i="5"/>
  <c r="G290" i="5"/>
  <c r="F290" i="5"/>
  <c r="G289" i="5"/>
  <c r="F289" i="5"/>
  <c r="G288" i="5"/>
  <c r="F288" i="5"/>
  <c r="G287" i="5"/>
  <c r="F287" i="5"/>
  <c r="G286" i="5"/>
  <c r="F286" i="5"/>
  <c r="G285" i="5"/>
  <c r="F285" i="5"/>
  <c r="G284" i="5"/>
  <c r="F284" i="5"/>
  <c r="G283" i="5"/>
  <c r="F283" i="5"/>
  <c r="G282" i="5"/>
  <c r="F282" i="5"/>
  <c r="G281" i="5"/>
  <c r="F281" i="5"/>
  <c r="G280" i="5"/>
  <c r="F280" i="5"/>
  <c r="G279" i="5"/>
  <c r="F279" i="5"/>
  <c r="G278" i="5"/>
  <c r="F278" i="5"/>
  <c r="G277" i="5"/>
  <c r="F277" i="5"/>
  <c r="G276" i="5"/>
  <c r="F276" i="5"/>
  <c r="G275" i="5"/>
  <c r="F275" i="5"/>
  <c r="G274" i="5"/>
  <c r="F274" i="5"/>
  <c r="G273" i="5"/>
  <c r="F273" i="5"/>
  <c r="G272" i="5"/>
  <c r="F272" i="5"/>
  <c r="G271" i="5"/>
  <c r="F271" i="5"/>
  <c r="G270" i="5"/>
  <c r="F270" i="5"/>
  <c r="G269" i="5"/>
  <c r="F269" i="5"/>
  <c r="G268" i="5"/>
  <c r="F268" i="5"/>
  <c r="G267" i="5"/>
  <c r="F267" i="5"/>
  <c r="G266" i="5"/>
  <c r="F266" i="5"/>
  <c r="G265" i="5"/>
  <c r="F265" i="5"/>
  <c r="G264" i="5"/>
  <c r="F264" i="5"/>
  <c r="G263" i="5"/>
  <c r="F263" i="5"/>
  <c r="G262" i="5"/>
  <c r="F262" i="5"/>
  <c r="G261" i="5"/>
  <c r="F261" i="5"/>
  <c r="G260" i="5"/>
  <c r="F260" i="5"/>
  <c r="G259" i="5"/>
  <c r="F259" i="5"/>
  <c r="G258" i="5"/>
  <c r="F258" i="5"/>
  <c r="G257" i="5"/>
  <c r="F257" i="5"/>
  <c r="G256" i="5"/>
  <c r="F256" i="5"/>
  <c r="G255" i="5"/>
  <c r="F255" i="5"/>
  <c r="G254" i="5"/>
  <c r="F254" i="5"/>
  <c r="G253" i="5"/>
  <c r="F253" i="5"/>
  <c r="G252" i="5"/>
  <c r="F252" i="5"/>
  <c r="G251" i="5"/>
  <c r="F251" i="5"/>
  <c r="G250" i="5"/>
  <c r="F250" i="5"/>
  <c r="G249" i="5"/>
  <c r="F249" i="5"/>
  <c r="G248" i="5"/>
  <c r="F248" i="5"/>
  <c r="G247" i="5"/>
  <c r="F247" i="5"/>
  <c r="G246" i="5"/>
  <c r="F246" i="5"/>
  <c r="G245" i="5"/>
  <c r="F245" i="5"/>
  <c r="G244" i="5"/>
  <c r="F244" i="5"/>
  <c r="G243" i="5"/>
  <c r="F243" i="5"/>
  <c r="G242" i="5"/>
  <c r="F242" i="5"/>
  <c r="G241" i="5"/>
  <c r="F241" i="5"/>
  <c r="G240" i="5"/>
  <c r="F240" i="5"/>
  <c r="G239" i="5"/>
  <c r="F239" i="5"/>
  <c r="G238" i="5"/>
  <c r="F238" i="5"/>
  <c r="G237" i="5"/>
  <c r="F237" i="5"/>
  <c r="G236" i="5"/>
  <c r="F236" i="5"/>
  <c r="G235" i="5"/>
  <c r="F235" i="5"/>
  <c r="G234" i="5"/>
  <c r="F234" i="5"/>
  <c r="G233" i="5"/>
  <c r="F233" i="5"/>
  <c r="G232" i="5"/>
  <c r="F232" i="5"/>
  <c r="G231" i="5"/>
  <c r="F231" i="5"/>
  <c r="G230" i="5"/>
  <c r="G229" i="5"/>
  <c r="F229" i="5"/>
  <c r="G228" i="5"/>
  <c r="F228" i="5"/>
  <c r="G227" i="5"/>
  <c r="F227" i="5"/>
  <c r="G226" i="5"/>
  <c r="F226" i="5"/>
  <c r="G225" i="5"/>
  <c r="C225" i="5"/>
  <c r="F225" i="5" s="1"/>
  <c r="G224" i="5"/>
  <c r="F224" i="5"/>
  <c r="C224" i="5"/>
  <c r="G223" i="5"/>
  <c r="F223" i="5"/>
  <c r="C223" i="5"/>
  <c r="G222" i="5"/>
  <c r="F222" i="5"/>
  <c r="C222" i="5"/>
  <c r="G221" i="5"/>
  <c r="C221" i="5"/>
  <c r="F221" i="5" s="1"/>
  <c r="G220" i="5"/>
  <c r="F220" i="5"/>
  <c r="C220" i="5"/>
  <c r="G219" i="5"/>
  <c r="G218" i="5"/>
  <c r="F218" i="5"/>
  <c r="C218" i="5"/>
  <c r="G217" i="5"/>
  <c r="C217" i="5"/>
  <c r="F217" i="5" s="1"/>
  <c r="G216" i="5"/>
  <c r="F216" i="5"/>
  <c r="C216" i="5"/>
  <c r="G215" i="5"/>
  <c r="G214" i="5"/>
  <c r="G213" i="5"/>
  <c r="G212" i="5"/>
  <c r="F212" i="5"/>
  <c r="G211" i="5"/>
  <c r="F211" i="5"/>
  <c r="G210" i="5"/>
  <c r="F210" i="5"/>
  <c r="G209" i="5"/>
  <c r="F209" i="5"/>
  <c r="G208" i="5"/>
  <c r="F208" i="5"/>
  <c r="G207" i="5"/>
  <c r="F207" i="5"/>
  <c r="G206" i="5"/>
  <c r="F206" i="5"/>
  <c r="G205" i="5"/>
  <c r="F205" i="5"/>
  <c r="G204" i="5"/>
  <c r="G203" i="5"/>
  <c r="F203" i="5"/>
  <c r="G202" i="5"/>
  <c r="F202" i="5"/>
  <c r="G201" i="5"/>
  <c r="F201" i="5"/>
  <c r="G200" i="5"/>
  <c r="C200" i="5"/>
  <c r="F200" i="5" s="1"/>
  <c r="G199" i="5"/>
  <c r="G198" i="5"/>
  <c r="G197" i="5"/>
  <c r="G196" i="5"/>
  <c r="F196" i="5"/>
  <c r="G195" i="5"/>
  <c r="G194" i="5"/>
  <c r="G193" i="5"/>
  <c r="G192" i="5"/>
  <c r="G191" i="5"/>
  <c r="F191" i="5"/>
  <c r="G190" i="5"/>
  <c r="G189" i="5"/>
  <c r="G188" i="5"/>
  <c r="G187" i="5"/>
  <c r="G186" i="5"/>
  <c r="G185" i="5"/>
  <c r="F185" i="5"/>
  <c r="G184" i="5"/>
  <c r="F184" i="5"/>
  <c r="G183" i="5"/>
  <c r="F183" i="5"/>
  <c r="G182" i="5"/>
  <c r="F182" i="5"/>
  <c r="G181" i="5"/>
  <c r="F181" i="5"/>
  <c r="G180" i="5"/>
  <c r="F180" i="5"/>
  <c r="G179" i="5"/>
  <c r="F179" i="5"/>
  <c r="G178" i="5"/>
  <c r="G177" i="5"/>
  <c r="F177" i="5"/>
  <c r="G176" i="5"/>
  <c r="F176" i="5"/>
  <c r="G175" i="5"/>
  <c r="F175" i="5"/>
  <c r="G174" i="5"/>
  <c r="F174" i="5"/>
  <c r="G173" i="5"/>
  <c r="F173" i="5"/>
  <c r="G172" i="5"/>
  <c r="F172" i="5"/>
  <c r="G171" i="5"/>
  <c r="F171" i="5"/>
  <c r="G170" i="5"/>
  <c r="F170" i="5"/>
  <c r="G169" i="5"/>
  <c r="F169" i="5"/>
  <c r="G168" i="5"/>
  <c r="F168" i="5"/>
  <c r="G167" i="5"/>
  <c r="F167" i="5"/>
  <c r="G166" i="5"/>
  <c r="G165" i="5"/>
  <c r="F165" i="5"/>
  <c r="G164" i="5"/>
  <c r="F164" i="5"/>
  <c r="G163" i="5"/>
  <c r="F163" i="5"/>
  <c r="G162" i="5"/>
  <c r="F162" i="5"/>
  <c r="G161" i="5"/>
  <c r="F161" i="5"/>
  <c r="G160" i="5"/>
  <c r="F160" i="5"/>
  <c r="G159" i="5"/>
  <c r="F159" i="5"/>
  <c r="G158" i="5"/>
  <c r="F158" i="5"/>
  <c r="G157" i="5"/>
  <c r="F157" i="5"/>
  <c r="G156" i="5"/>
  <c r="F156" i="5"/>
  <c r="G155" i="5"/>
  <c r="F155" i="5"/>
  <c r="G154" i="5"/>
  <c r="G153" i="5"/>
  <c r="F153" i="5"/>
  <c r="G152" i="5"/>
  <c r="F152" i="5"/>
  <c r="G151" i="5"/>
  <c r="F151" i="5"/>
  <c r="G150" i="5"/>
  <c r="F150" i="5"/>
  <c r="G149" i="5"/>
  <c r="F149" i="5"/>
  <c r="G148" i="5"/>
  <c r="F148" i="5"/>
  <c r="G147" i="5"/>
  <c r="F147" i="5"/>
  <c r="G146" i="5"/>
  <c r="F146" i="5"/>
  <c r="G145" i="5"/>
  <c r="F145" i="5"/>
  <c r="G144" i="5"/>
  <c r="F144" i="5"/>
  <c r="G143" i="5"/>
  <c r="G142" i="5"/>
  <c r="F142" i="5"/>
  <c r="G141" i="5"/>
  <c r="F141" i="5"/>
  <c r="G140" i="5"/>
  <c r="F140" i="5"/>
  <c r="G139" i="5"/>
  <c r="F139" i="5"/>
  <c r="G137" i="5"/>
  <c r="G136" i="5"/>
  <c r="F136" i="5"/>
  <c r="G135" i="5"/>
  <c r="G134" i="5"/>
  <c r="F134" i="5"/>
  <c r="G133" i="5"/>
  <c r="F133" i="5"/>
  <c r="G132" i="5"/>
  <c r="F132" i="5"/>
  <c r="G131" i="5"/>
  <c r="F131" i="5"/>
  <c r="G130" i="5"/>
  <c r="F130" i="5"/>
  <c r="G129" i="5"/>
  <c r="G128" i="5"/>
  <c r="G127" i="5"/>
  <c r="F127" i="5"/>
  <c r="G126" i="5"/>
  <c r="G125" i="5"/>
  <c r="G124" i="5"/>
  <c r="F124" i="5"/>
  <c r="G123" i="5"/>
  <c r="F123" i="5"/>
  <c r="G122" i="5"/>
  <c r="F122" i="5"/>
  <c r="G121" i="5"/>
  <c r="F121" i="5"/>
  <c r="G120" i="5"/>
  <c r="F120" i="5"/>
  <c r="G119" i="5"/>
  <c r="F119" i="5"/>
  <c r="G118" i="5"/>
  <c r="F118" i="5"/>
  <c r="G117" i="5"/>
  <c r="F117" i="5"/>
  <c r="G116" i="5"/>
  <c r="F116" i="5"/>
  <c r="G115" i="5"/>
  <c r="F115" i="5"/>
  <c r="G114" i="5"/>
  <c r="F114" i="5"/>
  <c r="G113" i="5"/>
  <c r="F113" i="5"/>
  <c r="G112" i="5"/>
  <c r="F112" i="5"/>
  <c r="G111" i="5"/>
  <c r="F111" i="5"/>
  <c r="G110" i="5"/>
  <c r="F110" i="5"/>
  <c r="G109" i="5"/>
  <c r="F109" i="5"/>
  <c r="G108" i="5"/>
  <c r="F108" i="5"/>
  <c r="G107" i="5"/>
  <c r="F107" i="5"/>
  <c r="G106" i="5"/>
  <c r="F106" i="5"/>
  <c r="G105" i="5"/>
  <c r="F105" i="5"/>
  <c r="G104" i="5"/>
  <c r="F104" i="5"/>
  <c r="G103" i="5"/>
  <c r="F103" i="5"/>
  <c r="G102" i="5"/>
  <c r="F102" i="5"/>
  <c r="G101" i="5"/>
  <c r="F101" i="5"/>
  <c r="G100" i="5"/>
  <c r="F100" i="5"/>
  <c r="G99" i="5"/>
  <c r="F99" i="5"/>
  <c r="G98" i="5"/>
  <c r="F98" i="5"/>
  <c r="G97" i="5"/>
  <c r="F97" i="5"/>
  <c r="G96" i="5"/>
  <c r="G95" i="5"/>
  <c r="F95" i="5"/>
  <c r="G94" i="5"/>
  <c r="F94" i="5"/>
  <c r="G93" i="5"/>
  <c r="F93" i="5"/>
  <c r="G92" i="5"/>
  <c r="D91" i="5"/>
  <c r="G90" i="5"/>
  <c r="F90" i="5"/>
  <c r="G89" i="5"/>
  <c r="F89" i="5"/>
  <c r="G88" i="5"/>
  <c r="F88" i="5"/>
  <c r="G87" i="5"/>
  <c r="F87" i="5"/>
  <c r="G86" i="5"/>
  <c r="F86" i="5"/>
  <c r="G85" i="5"/>
  <c r="F85" i="5"/>
  <c r="G84" i="5"/>
  <c r="F84" i="5"/>
  <c r="G83" i="5"/>
  <c r="F83" i="5"/>
  <c r="G82" i="5"/>
  <c r="F82" i="5"/>
  <c r="G81" i="5"/>
  <c r="F81" i="5"/>
  <c r="G80" i="5"/>
  <c r="F80" i="5"/>
  <c r="G79" i="5"/>
  <c r="F79" i="5"/>
  <c r="G78" i="5"/>
  <c r="F78" i="5"/>
  <c r="G77" i="5"/>
  <c r="F77" i="5"/>
  <c r="G76" i="5"/>
  <c r="F76" i="5"/>
  <c r="G75" i="5"/>
  <c r="F75" i="5"/>
  <c r="G74" i="5"/>
  <c r="F74" i="5"/>
  <c r="G73" i="5"/>
  <c r="F73" i="5"/>
  <c r="G72" i="5"/>
  <c r="F72" i="5"/>
  <c r="G71" i="5"/>
  <c r="F71" i="5"/>
  <c r="G70" i="5"/>
  <c r="G69" i="5"/>
  <c r="F69" i="5"/>
  <c r="G68" i="5"/>
  <c r="F68" i="5"/>
  <c r="G67" i="5"/>
  <c r="F67" i="5"/>
  <c r="G66" i="5"/>
  <c r="F66" i="5"/>
  <c r="G65" i="5"/>
  <c r="F65" i="5"/>
  <c r="G64" i="5"/>
  <c r="F64" i="5"/>
  <c r="G63" i="5"/>
  <c r="F63" i="5"/>
  <c r="G62" i="5"/>
  <c r="F62" i="5"/>
  <c r="G61" i="5"/>
  <c r="F61" i="5"/>
  <c r="G60" i="5"/>
  <c r="F60" i="5"/>
  <c r="G59" i="5"/>
  <c r="F59" i="5"/>
  <c r="G58" i="5"/>
  <c r="F58" i="5"/>
  <c r="G57" i="5"/>
  <c r="F57" i="5"/>
  <c r="G56" i="5"/>
  <c r="F56" i="5"/>
  <c r="G55" i="5"/>
  <c r="F55" i="5"/>
  <c r="G54" i="5"/>
  <c r="F54" i="5"/>
  <c r="G53" i="5"/>
  <c r="F53" i="5"/>
  <c r="G52" i="5"/>
  <c r="F52" i="5"/>
  <c r="G51" i="5"/>
  <c r="F51" i="5"/>
  <c r="G50" i="5"/>
  <c r="F50" i="5"/>
  <c r="G49" i="5"/>
  <c r="F49" i="5"/>
  <c r="G48" i="5"/>
  <c r="F48" i="5"/>
  <c r="G47" i="5"/>
  <c r="F47" i="5"/>
  <c r="G46" i="5"/>
  <c r="F46" i="5"/>
  <c r="G45" i="5"/>
  <c r="F45" i="5"/>
  <c r="G44" i="5"/>
  <c r="F44" i="5"/>
  <c r="G43" i="5"/>
  <c r="F43" i="5"/>
  <c r="G42" i="5"/>
  <c r="F42" i="5"/>
  <c r="G41" i="5"/>
  <c r="F41" i="5"/>
  <c r="G40" i="5"/>
  <c r="F40" i="5"/>
  <c r="G39" i="5"/>
  <c r="F39" i="5"/>
  <c r="G38" i="5"/>
  <c r="F38" i="5"/>
  <c r="G37" i="5"/>
  <c r="F37" i="5"/>
  <c r="G36" i="5"/>
  <c r="F36" i="5"/>
  <c r="G35" i="5"/>
  <c r="F35" i="5"/>
  <c r="G34" i="5"/>
  <c r="F34" i="5"/>
  <c r="G33" i="5"/>
  <c r="F33" i="5"/>
  <c r="G32" i="5"/>
  <c r="F32" i="5"/>
  <c r="G31" i="5"/>
  <c r="F31" i="5"/>
  <c r="G30" i="5"/>
  <c r="F30" i="5"/>
  <c r="G29" i="5"/>
  <c r="F29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G16" i="5"/>
  <c r="F16" i="5"/>
  <c r="G15" i="5"/>
  <c r="F15" i="5"/>
  <c r="G14" i="5"/>
  <c r="F14" i="5"/>
  <c r="G13" i="5"/>
  <c r="F13" i="5"/>
  <c r="G12" i="5"/>
  <c r="F12" i="5"/>
  <c r="G11" i="5"/>
  <c r="F11" i="5"/>
  <c r="G10" i="5"/>
  <c r="F10" i="5"/>
  <c r="G9" i="5"/>
  <c r="F9" i="5"/>
  <c r="G8" i="5"/>
  <c r="F8" i="5"/>
  <c r="E7" i="5"/>
  <c r="D7" i="5"/>
  <c r="C7" i="5"/>
  <c r="B7" i="5"/>
  <c r="C320" i="4"/>
  <c r="F320" i="4" s="1"/>
  <c r="C135" i="4"/>
  <c r="C134" i="4"/>
  <c r="C133" i="4"/>
  <c r="F133" i="4" s="1"/>
  <c r="C132" i="4"/>
  <c r="F132" i="4" s="1"/>
  <c r="C131" i="4"/>
  <c r="C130" i="4"/>
  <c r="F130" i="4" s="1"/>
  <c r="C128" i="4"/>
  <c r="F128" i="4" s="1"/>
  <c r="C127" i="4"/>
  <c r="F127" i="4" s="1"/>
  <c r="C126" i="4"/>
  <c r="F126" i="4" s="1"/>
  <c r="C92" i="4"/>
  <c r="F92" i="4" s="1"/>
  <c r="C125" i="4"/>
  <c r="F125" i="4" s="1"/>
  <c r="C198" i="4"/>
  <c r="C197" i="4"/>
  <c r="C196" i="4"/>
  <c r="F196" i="4" s="1"/>
  <c r="C195" i="4"/>
  <c r="F195" i="4" s="1"/>
  <c r="C194" i="4"/>
  <c r="F194" i="4" s="1"/>
  <c r="C193" i="4"/>
  <c r="F193" i="4" s="1"/>
  <c r="C192" i="4"/>
  <c r="C191" i="4"/>
  <c r="F191" i="4" s="1"/>
  <c r="C189" i="4"/>
  <c r="F189" i="4" s="1"/>
  <c r="C188" i="4"/>
  <c r="F188" i="4" s="1"/>
  <c r="C187" i="4"/>
  <c r="F187" i="4" s="1"/>
  <c r="C138" i="4"/>
  <c r="F138" i="4" s="1"/>
  <c r="C186" i="4"/>
  <c r="C214" i="4"/>
  <c r="F214" i="4" s="1"/>
  <c r="C224" i="4"/>
  <c r="C223" i="4"/>
  <c r="F223" i="4" s="1"/>
  <c r="C222" i="4"/>
  <c r="F222" i="4" s="1"/>
  <c r="C221" i="4"/>
  <c r="F221" i="4" s="1"/>
  <c r="C220" i="4"/>
  <c r="F220" i="4" s="1"/>
  <c r="C218" i="4"/>
  <c r="C217" i="4"/>
  <c r="F217" i="4" s="1"/>
  <c r="C216" i="4"/>
  <c r="F216" i="4" s="1"/>
  <c r="C215" i="4"/>
  <c r="F215" i="4" s="1"/>
  <c r="C276" i="4"/>
  <c r="C277" i="4"/>
  <c r="F277" i="4" s="1"/>
  <c r="C279" i="4"/>
  <c r="C278" i="4"/>
  <c r="C283" i="4"/>
  <c r="C308" i="4"/>
  <c r="F308" i="4" s="1"/>
  <c r="C307" i="4"/>
  <c r="F307" i="4" s="1"/>
  <c r="C306" i="4"/>
  <c r="C305" i="4"/>
  <c r="F305" i="4" s="1"/>
  <c r="C304" i="4"/>
  <c r="C303" i="4"/>
  <c r="F303" i="4" s="1"/>
  <c r="C302" i="4"/>
  <c r="C301" i="4"/>
  <c r="C380" i="4"/>
  <c r="F380" i="4" s="1"/>
  <c r="C393" i="4"/>
  <c r="F393" i="4" s="1"/>
  <c r="C395" i="4"/>
  <c r="F395" i="4" s="1"/>
  <c r="C394" i="4"/>
  <c r="F394" i="4" s="1"/>
  <c r="C402" i="4"/>
  <c r="F402" i="4" s="1"/>
  <c r="C415" i="4"/>
  <c r="F415" i="4" s="1"/>
  <c r="C417" i="4"/>
  <c r="F417" i="4" s="1"/>
  <c r="C416" i="4"/>
  <c r="F416" i="4" s="1"/>
  <c r="C421" i="4"/>
  <c r="F421" i="4" s="1"/>
  <c r="C430" i="4"/>
  <c r="F430" i="4" s="1"/>
  <c r="C431" i="4"/>
  <c r="C491" i="4"/>
  <c r="C321" i="4"/>
  <c r="F321" i="4" s="1"/>
  <c r="C328" i="4"/>
  <c r="C327" i="4"/>
  <c r="F327" i="4" s="1"/>
  <c r="C326" i="4"/>
  <c r="F326" i="4" s="1"/>
  <c r="C325" i="4"/>
  <c r="F325" i="4" s="1"/>
  <c r="C324" i="4"/>
  <c r="C323" i="4"/>
  <c r="F323" i="4" s="1"/>
  <c r="C322" i="4"/>
  <c r="F322" i="4" s="1"/>
  <c r="C329" i="4"/>
  <c r="F329" i="4" s="1"/>
  <c r="E619" i="4"/>
  <c r="D619" i="4"/>
  <c r="C619" i="4"/>
  <c r="B619" i="4"/>
  <c r="E613" i="4"/>
  <c r="D613" i="4"/>
  <c r="C613" i="4"/>
  <c r="B613" i="4"/>
  <c r="E609" i="4"/>
  <c r="D609" i="4"/>
  <c r="C609" i="4"/>
  <c r="B609" i="4"/>
  <c r="E605" i="4"/>
  <c r="D605" i="4"/>
  <c r="C605" i="4"/>
  <c r="B605" i="4"/>
  <c r="B598" i="4"/>
  <c r="E598" i="4"/>
  <c r="D598" i="4"/>
  <c r="C598" i="4"/>
  <c r="D91" i="4"/>
  <c r="E91" i="4"/>
  <c r="B91" i="4"/>
  <c r="B573" i="4"/>
  <c r="E573" i="4"/>
  <c r="D573" i="4"/>
  <c r="C573" i="4"/>
  <c r="B523" i="4"/>
  <c r="E523" i="4"/>
  <c r="D523" i="4"/>
  <c r="C523" i="4"/>
  <c r="B491" i="4"/>
  <c r="E491" i="4"/>
  <c r="D491" i="4"/>
  <c r="B434" i="4"/>
  <c r="E434" i="4"/>
  <c r="D434" i="4"/>
  <c r="C434" i="4"/>
  <c r="E7" i="4"/>
  <c r="D7" i="4"/>
  <c r="C7" i="4"/>
  <c r="B7" i="4"/>
  <c r="G642" i="4"/>
  <c r="F642" i="4"/>
  <c r="G641" i="4"/>
  <c r="F641" i="4"/>
  <c r="G640" i="4"/>
  <c r="F640" i="4"/>
  <c r="G639" i="4"/>
  <c r="F639" i="4"/>
  <c r="G638" i="4"/>
  <c r="F638" i="4"/>
  <c r="G637" i="4"/>
  <c r="G636" i="4"/>
  <c r="G635" i="4"/>
  <c r="F635" i="4"/>
  <c r="G634" i="4"/>
  <c r="G633" i="4"/>
  <c r="G632" i="4"/>
  <c r="G631" i="4"/>
  <c r="G630" i="4"/>
  <c r="G629" i="4"/>
  <c r="G628" i="4"/>
  <c r="G627" i="4"/>
  <c r="G626" i="4"/>
  <c r="G625" i="4"/>
  <c r="G624" i="4"/>
  <c r="G623" i="4"/>
  <c r="G622" i="4"/>
  <c r="G621" i="4"/>
  <c r="G620" i="4"/>
  <c r="G618" i="4"/>
  <c r="G617" i="4"/>
  <c r="G616" i="4"/>
  <c r="G615" i="4"/>
  <c r="G614" i="4"/>
  <c r="G612" i="4"/>
  <c r="G611" i="4"/>
  <c r="G610" i="4"/>
  <c r="G608" i="4"/>
  <c r="G607" i="4"/>
  <c r="G606" i="4"/>
  <c r="G604" i="4"/>
  <c r="G603" i="4"/>
  <c r="G602" i="4"/>
  <c r="G601" i="4"/>
  <c r="F601" i="4"/>
  <c r="G600" i="4"/>
  <c r="F600" i="4"/>
  <c r="G599" i="4"/>
  <c r="F599" i="4"/>
  <c r="G597" i="4"/>
  <c r="F597" i="4"/>
  <c r="G596" i="4"/>
  <c r="F596" i="4"/>
  <c r="G595" i="4"/>
  <c r="F595" i="4"/>
  <c r="G594" i="4"/>
  <c r="F594" i="4"/>
  <c r="G593" i="4"/>
  <c r="F593" i="4"/>
  <c r="G592" i="4"/>
  <c r="F592" i="4"/>
  <c r="G591" i="4"/>
  <c r="F591" i="4"/>
  <c r="G590" i="4"/>
  <c r="F590" i="4"/>
  <c r="G589" i="4"/>
  <c r="F589" i="4"/>
  <c r="G588" i="4"/>
  <c r="F588" i="4"/>
  <c r="G587" i="4"/>
  <c r="F587" i="4"/>
  <c r="G586" i="4"/>
  <c r="F586" i="4"/>
  <c r="G585" i="4"/>
  <c r="F585" i="4"/>
  <c r="G584" i="4"/>
  <c r="F584" i="4"/>
  <c r="G583" i="4"/>
  <c r="F583" i="4"/>
  <c r="G582" i="4"/>
  <c r="F582" i="4"/>
  <c r="G581" i="4"/>
  <c r="F581" i="4"/>
  <c r="G580" i="4"/>
  <c r="F580" i="4"/>
  <c r="G579" i="4"/>
  <c r="F579" i="4"/>
  <c r="G578" i="4"/>
  <c r="F578" i="4"/>
  <c r="G577" i="4"/>
  <c r="F577" i="4"/>
  <c r="G576" i="4"/>
  <c r="F576" i="4"/>
  <c r="G575" i="4"/>
  <c r="F575" i="4"/>
  <c r="G574" i="4"/>
  <c r="F574" i="4"/>
  <c r="G572" i="4"/>
  <c r="F572" i="4"/>
  <c r="G571" i="4"/>
  <c r="F571" i="4"/>
  <c r="G570" i="4"/>
  <c r="F570" i="4"/>
  <c r="G569" i="4"/>
  <c r="F569" i="4"/>
  <c r="G568" i="4"/>
  <c r="F568" i="4"/>
  <c r="G567" i="4"/>
  <c r="F567" i="4"/>
  <c r="G566" i="4"/>
  <c r="F566" i="4"/>
  <c r="G565" i="4"/>
  <c r="F565" i="4"/>
  <c r="G564" i="4"/>
  <c r="F564" i="4"/>
  <c r="G563" i="4"/>
  <c r="F563" i="4"/>
  <c r="G562" i="4"/>
  <c r="G561" i="4"/>
  <c r="F561" i="4"/>
  <c r="G560" i="4"/>
  <c r="F560" i="4"/>
  <c r="G559" i="4"/>
  <c r="F559" i="4"/>
  <c r="G558" i="4"/>
  <c r="G557" i="4"/>
  <c r="F557" i="4"/>
  <c r="G556" i="4"/>
  <c r="F556" i="4"/>
  <c r="G555" i="4"/>
  <c r="F555" i="4"/>
  <c r="G554" i="4"/>
  <c r="F554" i="4"/>
  <c r="G553" i="4"/>
  <c r="F553" i="4"/>
  <c r="G552" i="4"/>
  <c r="F552" i="4"/>
  <c r="G551" i="4"/>
  <c r="F551" i="4"/>
  <c r="G550" i="4"/>
  <c r="G549" i="4"/>
  <c r="F549" i="4"/>
  <c r="G548" i="4"/>
  <c r="F548" i="4"/>
  <c r="G547" i="4"/>
  <c r="F547" i="4"/>
  <c r="G546" i="4"/>
  <c r="G545" i="4"/>
  <c r="F545" i="4"/>
  <c r="G544" i="4"/>
  <c r="F544" i="4"/>
  <c r="G543" i="4"/>
  <c r="F543" i="4"/>
  <c r="G542" i="4"/>
  <c r="F542" i="4"/>
  <c r="G541" i="4"/>
  <c r="F541" i="4"/>
  <c r="G540" i="4"/>
  <c r="F540" i="4"/>
  <c r="G539" i="4"/>
  <c r="F539" i="4"/>
  <c r="G538" i="4"/>
  <c r="F538" i="4"/>
  <c r="G537" i="4"/>
  <c r="F537" i="4"/>
  <c r="G536" i="4"/>
  <c r="F536" i="4"/>
  <c r="G535" i="4"/>
  <c r="G534" i="4"/>
  <c r="F534" i="4"/>
  <c r="G533" i="4"/>
  <c r="F533" i="4"/>
  <c r="G532" i="4"/>
  <c r="F532" i="4"/>
  <c r="G531" i="4"/>
  <c r="F531" i="4"/>
  <c r="G530" i="4"/>
  <c r="F530" i="4"/>
  <c r="G529" i="4"/>
  <c r="F529" i="4"/>
  <c r="G528" i="4"/>
  <c r="F528" i="4"/>
  <c r="G527" i="4"/>
  <c r="F527" i="4"/>
  <c r="G526" i="4"/>
  <c r="F526" i="4"/>
  <c r="G525" i="4"/>
  <c r="F525" i="4"/>
  <c r="G524" i="4"/>
  <c r="F524" i="4"/>
  <c r="G522" i="4"/>
  <c r="F522" i="4"/>
  <c r="G521" i="4"/>
  <c r="F521" i="4"/>
  <c r="G520" i="4"/>
  <c r="F520" i="4"/>
  <c r="G519" i="4"/>
  <c r="F519" i="4"/>
  <c r="G518" i="4"/>
  <c r="F518" i="4"/>
  <c r="G517" i="4"/>
  <c r="F517" i="4"/>
  <c r="G516" i="4"/>
  <c r="F516" i="4"/>
  <c r="G515" i="4"/>
  <c r="F515" i="4"/>
  <c r="G514" i="4"/>
  <c r="F514" i="4"/>
  <c r="G513" i="4"/>
  <c r="F513" i="4"/>
  <c r="G512" i="4"/>
  <c r="F512" i="4"/>
  <c r="G511" i="4"/>
  <c r="F511" i="4"/>
  <c r="G510" i="4"/>
  <c r="F510" i="4"/>
  <c r="G509" i="4"/>
  <c r="F509" i="4"/>
  <c r="G508" i="4"/>
  <c r="F508" i="4"/>
  <c r="G507" i="4"/>
  <c r="F507" i="4"/>
  <c r="G506" i="4"/>
  <c r="F506" i="4"/>
  <c r="G505" i="4"/>
  <c r="F505" i="4"/>
  <c r="G504" i="4"/>
  <c r="F504" i="4"/>
  <c r="G503" i="4"/>
  <c r="F503" i="4"/>
  <c r="G502" i="4"/>
  <c r="G501" i="4"/>
  <c r="F501" i="4"/>
  <c r="G500" i="4"/>
  <c r="F500" i="4"/>
  <c r="G499" i="4"/>
  <c r="F499" i="4"/>
  <c r="G498" i="4"/>
  <c r="F498" i="4"/>
  <c r="G497" i="4"/>
  <c r="F497" i="4"/>
  <c r="G496" i="4"/>
  <c r="F496" i="4"/>
  <c r="G495" i="4"/>
  <c r="F495" i="4"/>
  <c r="G494" i="4"/>
  <c r="F494" i="4"/>
  <c r="G493" i="4"/>
  <c r="F493" i="4"/>
  <c r="G492" i="4"/>
  <c r="F492" i="4"/>
  <c r="G490" i="4"/>
  <c r="F490" i="4"/>
  <c r="G489" i="4"/>
  <c r="F489" i="4"/>
  <c r="G488" i="4"/>
  <c r="F488" i="4"/>
  <c r="G487" i="4"/>
  <c r="F487" i="4"/>
  <c r="G486" i="4"/>
  <c r="F486" i="4"/>
  <c r="G485" i="4"/>
  <c r="F485" i="4"/>
  <c r="G484" i="4"/>
  <c r="F484" i="4"/>
  <c r="G483" i="4"/>
  <c r="F483" i="4"/>
  <c r="G482" i="4"/>
  <c r="F482" i="4"/>
  <c r="G481" i="4"/>
  <c r="F481" i="4"/>
  <c r="G480" i="4"/>
  <c r="F480" i="4"/>
  <c r="G479" i="4"/>
  <c r="F479" i="4"/>
  <c r="G478" i="4"/>
  <c r="F478" i="4"/>
  <c r="G477" i="4"/>
  <c r="F477" i="4"/>
  <c r="G476" i="4"/>
  <c r="F476" i="4"/>
  <c r="G475" i="4"/>
  <c r="F475" i="4"/>
  <c r="G474" i="4"/>
  <c r="F474" i="4"/>
  <c r="G473" i="4"/>
  <c r="F473" i="4"/>
  <c r="G472" i="4"/>
  <c r="F472" i="4"/>
  <c r="G471" i="4"/>
  <c r="F471" i="4"/>
  <c r="G470" i="4"/>
  <c r="F470" i="4"/>
  <c r="G469" i="4"/>
  <c r="F469" i="4"/>
  <c r="G468" i="4"/>
  <c r="F468" i="4"/>
  <c r="G467" i="4"/>
  <c r="F467" i="4"/>
  <c r="G466" i="4"/>
  <c r="F466" i="4"/>
  <c r="G465" i="4"/>
  <c r="F465" i="4"/>
  <c r="G464" i="4"/>
  <c r="F464" i="4"/>
  <c r="G463" i="4"/>
  <c r="F463" i="4"/>
  <c r="G462" i="4"/>
  <c r="F462" i="4"/>
  <c r="G461" i="4"/>
  <c r="F461" i="4"/>
  <c r="G460" i="4"/>
  <c r="F460" i="4"/>
  <c r="G459" i="4"/>
  <c r="F459" i="4"/>
  <c r="G458" i="4"/>
  <c r="F458" i="4"/>
  <c r="G457" i="4"/>
  <c r="F457" i="4"/>
  <c r="G456" i="4"/>
  <c r="F456" i="4"/>
  <c r="G455" i="4"/>
  <c r="F455" i="4"/>
  <c r="G454" i="4"/>
  <c r="F454" i="4"/>
  <c r="G453" i="4"/>
  <c r="F453" i="4"/>
  <c r="G452" i="4"/>
  <c r="F452" i="4"/>
  <c r="G451" i="4"/>
  <c r="F451" i="4"/>
  <c r="G450" i="4"/>
  <c r="F450" i="4"/>
  <c r="G449" i="4"/>
  <c r="F449" i="4"/>
  <c r="G448" i="4"/>
  <c r="G447" i="4"/>
  <c r="G446" i="4"/>
  <c r="F446" i="4"/>
  <c r="G445" i="4"/>
  <c r="F445" i="4"/>
  <c r="G444" i="4"/>
  <c r="F444" i="4"/>
  <c r="G443" i="4"/>
  <c r="F443" i="4"/>
  <c r="G442" i="4"/>
  <c r="F442" i="4"/>
  <c r="G441" i="4"/>
  <c r="F441" i="4"/>
  <c r="G440" i="4"/>
  <c r="F440" i="4"/>
  <c r="G439" i="4"/>
  <c r="F439" i="4"/>
  <c r="G438" i="4"/>
  <c r="F438" i="4"/>
  <c r="G437" i="4"/>
  <c r="F437" i="4"/>
  <c r="G436" i="4"/>
  <c r="F436" i="4"/>
  <c r="G435" i="4"/>
  <c r="F435" i="4"/>
  <c r="G433" i="4"/>
  <c r="F433" i="4"/>
  <c r="G432" i="4"/>
  <c r="F432" i="4"/>
  <c r="G431" i="4"/>
  <c r="F431" i="4"/>
  <c r="G430" i="4"/>
  <c r="G429" i="4"/>
  <c r="F429" i="4"/>
  <c r="G428" i="4"/>
  <c r="F428" i="4"/>
  <c r="G427" i="4"/>
  <c r="F427" i="4"/>
  <c r="G426" i="4"/>
  <c r="F426" i="4"/>
  <c r="G425" i="4"/>
  <c r="F425" i="4"/>
  <c r="G424" i="4"/>
  <c r="F424" i="4"/>
  <c r="G423" i="4"/>
  <c r="F423" i="4"/>
  <c r="G422" i="4"/>
  <c r="F422" i="4"/>
  <c r="G421" i="4"/>
  <c r="G420" i="4"/>
  <c r="F420" i="4"/>
  <c r="G419" i="4"/>
  <c r="F419" i="4"/>
  <c r="G418" i="4"/>
  <c r="F418" i="4"/>
  <c r="G417" i="4"/>
  <c r="G416" i="4"/>
  <c r="G415" i="4"/>
  <c r="G414" i="4"/>
  <c r="F414" i="4"/>
  <c r="G413" i="4"/>
  <c r="F413" i="4"/>
  <c r="G412" i="4"/>
  <c r="F412" i="4"/>
  <c r="G411" i="4"/>
  <c r="F411" i="4"/>
  <c r="G410" i="4"/>
  <c r="F410" i="4"/>
  <c r="G409" i="4"/>
  <c r="F409" i="4"/>
  <c r="G408" i="4"/>
  <c r="F408" i="4"/>
  <c r="G407" i="4"/>
  <c r="F407" i="4"/>
  <c r="G406" i="4"/>
  <c r="F406" i="4"/>
  <c r="G405" i="4"/>
  <c r="F405" i="4"/>
  <c r="G404" i="4"/>
  <c r="F404" i="4"/>
  <c r="G403" i="4"/>
  <c r="F403" i="4"/>
  <c r="G402" i="4"/>
  <c r="G401" i="4"/>
  <c r="F401" i="4"/>
  <c r="G400" i="4"/>
  <c r="F400" i="4"/>
  <c r="G399" i="4"/>
  <c r="F399" i="4"/>
  <c r="G398" i="4"/>
  <c r="F398" i="4"/>
  <c r="G397" i="4"/>
  <c r="F397" i="4"/>
  <c r="G396" i="4"/>
  <c r="F396" i="4"/>
  <c r="G395" i="4"/>
  <c r="G394" i="4"/>
  <c r="G393" i="4"/>
  <c r="G392" i="4"/>
  <c r="F392" i="4"/>
  <c r="G391" i="4"/>
  <c r="F391" i="4"/>
  <c r="G390" i="4"/>
  <c r="F390" i="4"/>
  <c r="G389" i="4"/>
  <c r="F389" i="4"/>
  <c r="G388" i="4"/>
  <c r="F388" i="4"/>
  <c r="G387" i="4"/>
  <c r="F387" i="4"/>
  <c r="G386" i="4"/>
  <c r="F386" i="4"/>
  <c r="G385" i="4"/>
  <c r="F385" i="4"/>
  <c r="G384" i="4"/>
  <c r="F384" i="4"/>
  <c r="G383" i="4"/>
  <c r="F383" i="4"/>
  <c r="G382" i="4"/>
  <c r="F382" i="4"/>
  <c r="G381" i="4"/>
  <c r="F381" i="4"/>
  <c r="G380" i="4"/>
  <c r="G379" i="4"/>
  <c r="F379" i="4"/>
  <c r="G378" i="4"/>
  <c r="F378" i="4"/>
  <c r="G377" i="4"/>
  <c r="F377" i="4"/>
  <c r="G376" i="4"/>
  <c r="F376" i="4"/>
  <c r="G375" i="4"/>
  <c r="F375" i="4"/>
  <c r="G374" i="4"/>
  <c r="F374" i="4"/>
  <c r="G373" i="4"/>
  <c r="F373" i="4"/>
  <c r="G372" i="4"/>
  <c r="F372" i="4"/>
  <c r="G371" i="4"/>
  <c r="F371" i="4"/>
  <c r="G370" i="4"/>
  <c r="F370" i="4"/>
  <c r="G369" i="4"/>
  <c r="F369" i="4"/>
  <c r="G368" i="4"/>
  <c r="F368" i="4"/>
  <c r="G367" i="4"/>
  <c r="F367" i="4"/>
  <c r="G366" i="4"/>
  <c r="F366" i="4"/>
  <c r="G365" i="4"/>
  <c r="F365" i="4"/>
  <c r="G364" i="4"/>
  <c r="F364" i="4"/>
  <c r="G363" i="4"/>
  <c r="F363" i="4"/>
  <c r="G362" i="4"/>
  <c r="F362" i="4"/>
  <c r="G361" i="4"/>
  <c r="F361" i="4"/>
  <c r="G360" i="4"/>
  <c r="F360" i="4"/>
  <c r="G359" i="4"/>
  <c r="F359" i="4"/>
  <c r="G358" i="4"/>
  <c r="F358" i="4"/>
  <c r="G357" i="4"/>
  <c r="F357" i="4"/>
  <c r="G356" i="4"/>
  <c r="F356" i="4"/>
  <c r="G355" i="4"/>
  <c r="F355" i="4"/>
  <c r="G354" i="4"/>
  <c r="F354" i="4"/>
  <c r="G353" i="4"/>
  <c r="G352" i="4"/>
  <c r="G351" i="4"/>
  <c r="G350" i="4"/>
  <c r="G349" i="4"/>
  <c r="F349" i="4"/>
  <c r="G348" i="4"/>
  <c r="F348" i="4"/>
  <c r="G347" i="4"/>
  <c r="F347" i="4"/>
  <c r="G346" i="4"/>
  <c r="F346" i="4"/>
  <c r="G345" i="4"/>
  <c r="F345" i="4"/>
  <c r="G344" i="4"/>
  <c r="F344" i="4"/>
  <c r="G343" i="4"/>
  <c r="F343" i="4"/>
  <c r="G342" i="4"/>
  <c r="F342" i="4"/>
  <c r="G341" i="4"/>
  <c r="F341" i="4"/>
  <c r="G340" i="4"/>
  <c r="F340" i="4"/>
  <c r="G339" i="4"/>
  <c r="F339" i="4"/>
  <c r="G338" i="4"/>
  <c r="F338" i="4"/>
  <c r="G337" i="4"/>
  <c r="F337" i="4"/>
  <c r="G336" i="4"/>
  <c r="F336" i="4"/>
  <c r="G335" i="4"/>
  <c r="F335" i="4"/>
  <c r="G334" i="4"/>
  <c r="F334" i="4"/>
  <c r="G333" i="4"/>
  <c r="F333" i="4"/>
  <c r="G332" i="4"/>
  <c r="F332" i="4"/>
  <c r="G331" i="4"/>
  <c r="F331" i="4"/>
  <c r="G330" i="4"/>
  <c r="G329" i="4"/>
  <c r="G328" i="4"/>
  <c r="F328" i="4"/>
  <c r="G327" i="4"/>
  <c r="G326" i="4"/>
  <c r="G325" i="4"/>
  <c r="G324" i="4"/>
  <c r="F324" i="4"/>
  <c r="G323" i="4"/>
  <c r="G322" i="4"/>
  <c r="G321" i="4"/>
  <c r="G320" i="4"/>
  <c r="G319" i="4"/>
  <c r="G318" i="4"/>
  <c r="F318" i="4"/>
  <c r="G317" i="4"/>
  <c r="F317" i="4"/>
  <c r="G316" i="4"/>
  <c r="F316" i="4"/>
  <c r="G315" i="4"/>
  <c r="F315" i="4"/>
  <c r="G314" i="4"/>
  <c r="F314" i="4"/>
  <c r="G313" i="4"/>
  <c r="F313" i="4"/>
  <c r="G312" i="4"/>
  <c r="F312" i="4"/>
  <c r="G311" i="4"/>
  <c r="F311" i="4"/>
  <c r="G310" i="4"/>
  <c r="F310" i="4"/>
  <c r="G309" i="4"/>
  <c r="G308" i="4"/>
  <c r="G307" i="4"/>
  <c r="G306" i="4"/>
  <c r="F306" i="4"/>
  <c r="G305" i="4"/>
  <c r="G304" i="4"/>
  <c r="F304" i="4"/>
  <c r="G303" i="4"/>
  <c r="G302" i="4"/>
  <c r="F302" i="4"/>
  <c r="G301" i="4"/>
  <c r="G300" i="4"/>
  <c r="G299" i="4"/>
  <c r="F299" i="4"/>
  <c r="G298" i="4"/>
  <c r="F298" i="4"/>
  <c r="G297" i="4"/>
  <c r="F297" i="4"/>
  <c r="G296" i="4"/>
  <c r="G295" i="4"/>
  <c r="F295" i="4"/>
  <c r="G294" i="4"/>
  <c r="F294" i="4"/>
  <c r="G293" i="4"/>
  <c r="F293" i="4"/>
  <c r="G292" i="4"/>
  <c r="F292" i="4"/>
  <c r="G291" i="4"/>
  <c r="F291" i="4"/>
  <c r="G290" i="4"/>
  <c r="F290" i="4"/>
  <c r="G289" i="4"/>
  <c r="F289" i="4"/>
  <c r="G288" i="4"/>
  <c r="F288" i="4"/>
  <c r="G287" i="4"/>
  <c r="F287" i="4"/>
  <c r="G286" i="4"/>
  <c r="F286" i="4"/>
  <c r="G285" i="4"/>
  <c r="F285" i="4"/>
  <c r="G284" i="4"/>
  <c r="F284" i="4"/>
  <c r="G283" i="4"/>
  <c r="F283" i="4"/>
  <c r="G282" i="4"/>
  <c r="F282" i="4"/>
  <c r="G281" i="4"/>
  <c r="F281" i="4"/>
  <c r="G280" i="4"/>
  <c r="F280" i="4"/>
  <c r="G279" i="4"/>
  <c r="F279" i="4"/>
  <c r="G278" i="4"/>
  <c r="F278" i="4"/>
  <c r="G277" i="4"/>
  <c r="G276" i="4"/>
  <c r="F276" i="4"/>
  <c r="G275" i="4"/>
  <c r="F275" i="4"/>
  <c r="G274" i="4"/>
  <c r="F274" i="4"/>
  <c r="G273" i="4"/>
  <c r="F273" i="4"/>
  <c r="G272" i="4"/>
  <c r="F272" i="4"/>
  <c r="G271" i="4"/>
  <c r="F271" i="4"/>
  <c r="G270" i="4"/>
  <c r="F270" i="4"/>
  <c r="G269" i="4"/>
  <c r="F269" i="4"/>
  <c r="G268" i="4"/>
  <c r="F268" i="4"/>
  <c r="G267" i="4"/>
  <c r="F267" i="4"/>
  <c r="G266" i="4"/>
  <c r="F266" i="4"/>
  <c r="G265" i="4"/>
  <c r="F265" i="4"/>
  <c r="G264" i="4"/>
  <c r="F264" i="4"/>
  <c r="G263" i="4"/>
  <c r="F263" i="4"/>
  <c r="G262" i="4"/>
  <c r="F262" i="4"/>
  <c r="G261" i="4"/>
  <c r="F261" i="4"/>
  <c r="G260" i="4"/>
  <c r="F260" i="4"/>
  <c r="G259" i="4"/>
  <c r="F259" i="4"/>
  <c r="G258" i="4"/>
  <c r="F258" i="4"/>
  <c r="G257" i="4"/>
  <c r="F257" i="4"/>
  <c r="G256" i="4"/>
  <c r="F256" i="4"/>
  <c r="G255" i="4"/>
  <c r="F255" i="4"/>
  <c r="G254" i="4"/>
  <c r="F254" i="4"/>
  <c r="G253" i="4"/>
  <c r="F253" i="4"/>
  <c r="G252" i="4"/>
  <c r="F252" i="4"/>
  <c r="G251" i="4"/>
  <c r="F251" i="4"/>
  <c r="G250" i="4"/>
  <c r="F250" i="4"/>
  <c r="G249" i="4"/>
  <c r="F249" i="4"/>
  <c r="G248" i="4"/>
  <c r="F248" i="4"/>
  <c r="G247" i="4"/>
  <c r="F247" i="4"/>
  <c r="G246" i="4"/>
  <c r="F246" i="4"/>
  <c r="G245" i="4"/>
  <c r="F245" i="4"/>
  <c r="G244" i="4"/>
  <c r="F244" i="4"/>
  <c r="G243" i="4"/>
  <c r="F243" i="4"/>
  <c r="G242" i="4"/>
  <c r="F242" i="4"/>
  <c r="G241" i="4"/>
  <c r="F241" i="4"/>
  <c r="G240" i="4"/>
  <c r="F240" i="4"/>
  <c r="G239" i="4"/>
  <c r="F239" i="4"/>
  <c r="G238" i="4"/>
  <c r="F238" i="4"/>
  <c r="G237" i="4"/>
  <c r="F237" i="4"/>
  <c r="G236" i="4"/>
  <c r="G235" i="4"/>
  <c r="F235" i="4"/>
  <c r="G234" i="4"/>
  <c r="F234" i="4"/>
  <c r="G233" i="4"/>
  <c r="F233" i="4"/>
  <c r="G232" i="4"/>
  <c r="F232" i="4"/>
  <c r="G231" i="4"/>
  <c r="F231" i="4"/>
  <c r="G230" i="4"/>
  <c r="G229" i="4"/>
  <c r="F229" i="4"/>
  <c r="G228" i="4"/>
  <c r="F228" i="4"/>
  <c r="G227" i="4"/>
  <c r="F227" i="4"/>
  <c r="G226" i="4"/>
  <c r="F226" i="4"/>
  <c r="G225" i="4"/>
  <c r="G224" i="4"/>
  <c r="F224" i="4"/>
  <c r="G223" i="4"/>
  <c r="G222" i="4"/>
  <c r="G221" i="4"/>
  <c r="G220" i="4"/>
  <c r="G219" i="4"/>
  <c r="G218" i="4"/>
  <c r="F218" i="4"/>
  <c r="G217" i="4"/>
  <c r="G216" i="4"/>
  <c r="G215" i="4"/>
  <c r="G214" i="4"/>
  <c r="G213" i="4"/>
  <c r="G212" i="4"/>
  <c r="G211" i="4"/>
  <c r="F211" i="4"/>
  <c r="G210" i="4"/>
  <c r="F210" i="4"/>
  <c r="G209" i="4"/>
  <c r="F209" i="4"/>
  <c r="G208" i="4"/>
  <c r="F208" i="4"/>
  <c r="G207" i="4"/>
  <c r="F207" i="4"/>
  <c r="G206" i="4"/>
  <c r="F206" i="4"/>
  <c r="G205" i="4"/>
  <c r="F205" i="4"/>
  <c r="G204" i="4"/>
  <c r="G203" i="4"/>
  <c r="F203" i="4"/>
  <c r="G202" i="4"/>
  <c r="F202" i="4"/>
  <c r="G201" i="4"/>
  <c r="F201" i="4"/>
  <c r="G200" i="4"/>
  <c r="F200" i="4"/>
  <c r="G199" i="4"/>
  <c r="F199" i="4"/>
  <c r="G198" i="4"/>
  <c r="G197" i="4"/>
  <c r="F197" i="4"/>
  <c r="G196" i="4"/>
  <c r="G195" i="4"/>
  <c r="G194" i="4"/>
  <c r="G193" i="4"/>
  <c r="G192" i="4"/>
  <c r="F192" i="4"/>
  <c r="G191" i="4"/>
  <c r="G190" i="4"/>
  <c r="G189" i="4"/>
  <c r="G188" i="4"/>
  <c r="G187" i="4"/>
  <c r="G186" i="4"/>
  <c r="F186" i="4"/>
  <c r="G185" i="4"/>
  <c r="G184" i="4"/>
  <c r="F184" i="4"/>
  <c r="G183" i="4"/>
  <c r="F183" i="4"/>
  <c r="G182" i="4"/>
  <c r="F182" i="4"/>
  <c r="G181" i="4"/>
  <c r="F181" i="4"/>
  <c r="G180" i="4"/>
  <c r="F180" i="4"/>
  <c r="G179" i="4"/>
  <c r="F179" i="4"/>
  <c r="G178" i="4"/>
  <c r="G177" i="4"/>
  <c r="F177" i="4"/>
  <c r="G176" i="4"/>
  <c r="F176" i="4"/>
  <c r="G175" i="4"/>
  <c r="F175" i="4"/>
  <c r="G174" i="4"/>
  <c r="F174" i="4"/>
  <c r="G173" i="4"/>
  <c r="G172" i="4"/>
  <c r="F172" i="4"/>
  <c r="G171" i="4"/>
  <c r="F171" i="4"/>
  <c r="G170" i="4"/>
  <c r="F170" i="4"/>
  <c r="G169" i="4"/>
  <c r="F169" i="4"/>
  <c r="G168" i="4"/>
  <c r="F168" i="4"/>
  <c r="G167" i="4"/>
  <c r="F167" i="4"/>
  <c r="G166" i="4"/>
  <c r="G165" i="4"/>
  <c r="F165" i="4"/>
  <c r="G164" i="4"/>
  <c r="F164" i="4"/>
  <c r="G163" i="4"/>
  <c r="F163" i="4"/>
  <c r="G162" i="4"/>
  <c r="F162" i="4"/>
  <c r="G161" i="4"/>
  <c r="F161" i="4"/>
  <c r="G160" i="4"/>
  <c r="F160" i="4"/>
  <c r="G159" i="4"/>
  <c r="F159" i="4"/>
  <c r="G158" i="4"/>
  <c r="F158" i="4"/>
  <c r="G157" i="4"/>
  <c r="F157" i="4"/>
  <c r="G156" i="4"/>
  <c r="F156" i="4"/>
  <c r="G155" i="4"/>
  <c r="F155" i="4"/>
  <c r="G154" i="4"/>
  <c r="G153" i="4"/>
  <c r="F153" i="4"/>
  <c r="G152" i="4"/>
  <c r="F152" i="4"/>
  <c r="G151" i="4"/>
  <c r="F151" i="4"/>
  <c r="G150" i="4"/>
  <c r="F150" i="4"/>
  <c r="G149" i="4"/>
  <c r="F149" i="4"/>
  <c r="G148" i="4"/>
  <c r="F148" i="4"/>
  <c r="G147" i="4"/>
  <c r="F147" i="4"/>
  <c r="G146" i="4"/>
  <c r="F146" i="4"/>
  <c r="G145" i="4"/>
  <c r="F145" i="4"/>
  <c r="G144" i="4"/>
  <c r="F144" i="4"/>
  <c r="G143" i="4"/>
  <c r="G142" i="4"/>
  <c r="F142" i="4"/>
  <c r="G141" i="4"/>
  <c r="F141" i="4"/>
  <c r="G140" i="4"/>
  <c r="F140" i="4"/>
  <c r="G139" i="4"/>
  <c r="F139" i="4"/>
  <c r="G138" i="4"/>
  <c r="G137" i="4"/>
  <c r="G136" i="4"/>
  <c r="G135" i="4"/>
  <c r="F135" i="4"/>
  <c r="G134" i="4"/>
  <c r="F134" i="4"/>
  <c r="G133" i="4"/>
  <c r="G132" i="4"/>
  <c r="G131" i="4"/>
  <c r="F131" i="4"/>
  <c r="G130" i="4"/>
  <c r="G129" i="4"/>
  <c r="G128" i="4"/>
  <c r="G127" i="4"/>
  <c r="G126" i="4"/>
  <c r="G125" i="4"/>
  <c r="G124" i="4"/>
  <c r="G123" i="4"/>
  <c r="F123" i="4"/>
  <c r="G122" i="4"/>
  <c r="F122" i="4"/>
  <c r="G121" i="4"/>
  <c r="F121" i="4"/>
  <c r="G120" i="4"/>
  <c r="F120" i="4"/>
  <c r="G119" i="4"/>
  <c r="F119" i="4"/>
  <c r="G118" i="4"/>
  <c r="F118" i="4"/>
  <c r="G117" i="4"/>
  <c r="F117" i="4"/>
  <c r="G116" i="4"/>
  <c r="F116" i="4"/>
  <c r="G115" i="4"/>
  <c r="F115" i="4"/>
  <c r="G114" i="4"/>
  <c r="F114" i="4"/>
  <c r="G113" i="4"/>
  <c r="F113" i="4"/>
  <c r="G112" i="4"/>
  <c r="F112" i="4"/>
  <c r="G111" i="4"/>
  <c r="F111" i="4"/>
  <c r="G110" i="4"/>
  <c r="F110" i="4"/>
  <c r="G109" i="4"/>
  <c r="F109" i="4"/>
  <c r="G108" i="4"/>
  <c r="G107" i="4"/>
  <c r="F107" i="4"/>
  <c r="G106" i="4"/>
  <c r="F106" i="4"/>
  <c r="G105" i="4"/>
  <c r="F105" i="4"/>
  <c r="G104" i="4"/>
  <c r="F104" i="4"/>
  <c r="G103" i="4"/>
  <c r="F103" i="4"/>
  <c r="G102" i="4"/>
  <c r="F102" i="4"/>
  <c r="G101" i="4"/>
  <c r="F101" i="4"/>
  <c r="G100" i="4"/>
  <c r="F100" i="4"/>
  <c r="G99" i="4"/>
  <c r="F99" i="4"/>
  <c r="G98" i="4"/>
  <c r="F98" i="4"/>
  <c r="G97" i="4"/>
  <c r="G96" i="4"/>
  <c r="G95" i="4"/>
  <c r="F95" i="4"/>
  <c r="G94" i="4"/>
  <c r="F94" i="4"/>
  <c r="G93" i="4"/>
  <c r="F93" i="4"/>
  <c r="G92" i="4"/>
  <c r="G90" i="4"/>
  <c r="F90" i="4"/>
  <c r="G89" i="4"/>
  <c r="F89" i="4"/>
  <c r="G88" i="4"/>
  <c r="F88" i="4"/>
  <c r="G87" i="4"/>
  <c r="F87" i="4"/>
  <c r="G86" i="4"/>
  <c r="F86" i="4"/>
  <c r="G85" i="4"/>
  <c r="F85" i="4"/>
  <c r="G84" i="4"/>
  <c r="F84" i="4"/>
  <c r="G83" i="4"/>
  <c r="F83" i="4"/>
  <c r="G82" i="4"/>
  <c r="F82" i="4"/>
  <c r="G81" i="4"/>
  <c r="F81" i="4"/>
  <c r="G80" i="4"/>
  <c r="F80" i="4"/>
  <c r="G79" i="4"/>
  <c r="F79" i="4"/>
  <c r="G78" i="4"/>
  <c r="F78" i="4"/>
  <c r="G77" i="4"/>
  <c r="F77" i="4"/>
  <c r="G76" i="4"/>
  <c r="F76" i="4"/>
  <c r="G75" i="4"/>
  <c r="F75" i="4"/>
  <c r="G74" i="4"/>
  <c r="F74" i="4"/>
  <c r="G73" i="4"/>
  <c r="F73" i="4"/>
  <c r="G72" i="4"/>
  <c r="F72" i="4"/>
  <c r="G71" i="4"/>
  <c r="F71" i="4"/>
  <c r="G70" i="4"/>
  <c r="G69" i="4"/>
  <c r="F69" i="4"/>
  <c r="G68" i="4"/>
  <c r="F68" i="4"/>
  <c r="G67" i="4"/>
  <c r="F67" i="4"/>
  <c r="G66" i="4"/>
  <c r="F66" i="4"/>
  <c r="G65" i="4"/>
  <c r="F65" i="4"/>
  <c r="G64" i="4"/>
  <c r="F64" i="4"/>
  <c r="G63" i="4"/>
  <c r="F63" i="4"/>
  <c r="G62" i="4"/>
  <c r="F62" i="4"/>
  <c r="G61" i="4"/>
  <c r="F61" i="4"/>
  <c r="G60" i="4"/>
  <c r="F60" i="4"/>
  <c r="G59" i="4"/>
  <c r="F59" i="4"/>
  <c r="G58" i="4"/>
  <c r="F58" i="4"/>
  <c r="G57" i="4"/>
  <c r="G56" i="4"/>
  <c r="F56" i="4"/>
  <c r="G55" i="4"/>
  <c r="F55" i="4"/>
  <c r="G54" i="4"/>
  <c r="F54" i="4"/>
  <c r="G53" i="4"/>
  <c r="F53" i="4"/>
  <c r="G52" i="4"/>
  <c r="F52" i="4"/>
  <c r="G51" i="4"/>
  <c r="F51" i="4"/>
  <c r="G50" i="4"/>
  <c r="F50" i="4"/>
  <c r="G49" i="4"/>
  <c r="F49" i="4"/>
  <c r="G48" i="4"/>
  <c r="F48" i="4"/>
  <c r="G47" i="4"/>
  <c r="F47" i="4"/>
  <c r="G46" i="4"/>
  <c r="F46" i="4"/>
  <c r="G45" i="4"/>
  <c r="F45" i="4"/>
  <c r="G44" i="4"/>
  <c r="F44" i="4"/>
  <c r="G43" i="4"/>
  <c r="F43" i="4"/>
  <c r="G42" i="4"/>
  <c r="F42" i="4"/>
  <c r="G41" i="4"/>
  <c r="F41" i="4"/>
  <c r="G40" i="4"/>
  <c r="F40" i="4"/>
  <c r="G39" i="4"/>
  <c r="F39" i="4"/>
  <c r="G38" i="4"/>
  <c r="G37" i="4"/>
  <c r="F37" i="4"/>
  <c r="G36" i="4"/>
  <c r="F36" i="4"/>
  <c r="G35" i="4"/>
  <c r="F35" i="4"/>
  <c r="G34" i="4"/>
  <c r="F34" i="4"/>
  <c r="G33" i="4"/>
  <c r="F33" i="4"/>
  <c r="G32" i="4"/>
  <c r="F32" i="4"/>
  <c r="G31" i="4"/>
  <c r="F31" i="4"/>
  <c r="G30" i="4"/>
  <c r="F30" i="4"/>
  <c r="G29" i="4"/>
  <c r="F29" i="4"/>
  <c r="G28" i="4"/>
  <c r="F28" i="4"/>
  <c r="G27" i="4"/>
  <c r="F27" i="4"/>
  <c r="G26" i="4"/>
  <c r="F26" i="4"/>
  <c r="G25" i="4"/>
  <c r="F25" i="4"/>
  <c r="G24" i="4"/>
  <c r="F24" i="4"/>
  <c r="G23" i="4"/>
  <c r="F23" i="4"/>
  <c r="G22" i="4"/>
  <c r="F22" i="4"/>
  <c r="G21" i="4"/>
  <c r="F21" i="4"/>
  <c r="G20" i="4"/>
  <c r="F20" i="4"/>
  <c r="G19" i="4"/>
  <c r="F19" i="4"/>
  <c r="G18" i="4"/>
  <c r="F18" i="4"/>
  <c r="G17" i="4"/>
  <c r="F17" i="4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D58" i="1"/>
  <c r="E58" i="1"/>
  <c r="C58" i="1"/>
  <c r="C8" i="1" s="1"/>
  <c r="C7" i="1" s="1"/>
  <c r="D340" i="1"/>
  <c r="E340" i="1"/>
  <c r="D8" i="1"/>
  <c r="E8" i="1"/>
  <c r="C575" i="1"/>
  <c r="D575" i="1"/>
  <c r="E575" i="1"/>
  <c r="B575" i="1"/>
  <c r="C567" i="1"/>
  <c r="D567" i="1"/>
  <c r="F567" i="1" s="1"/>
  <c r="E567" i="1"/>
  <c r="B567" i="1"/>
  <c r="G567" i="1" s="1"/>
  <c r="C589" i="1"/>
  <c r="D589" i="1"/>
  <c r="E589" i="1"/>
  <c r="B589" i="1"/>
  <c r="B590" i="1"/>
  <c r="G612" i="1"/>
  <c r="F612" i="1"/>
  <c r="G611" i="1"/>
  <c r="F611" i="1"/>
  <c r="G610" i="1"/>
  <c r="F610" i="1"/>
  <c r="C605" i="1"/>
  <c r="D605" i="1"/>
  <c r="E605" i="1"/>
  <c r="B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C590" i="1"/>
  <c r="D590" i="1"/>
  <c r="G590" i="1" s="1"/>
  <c r="E590" i="1"/>
  <c r="D568" i="1"/>
  <c r="E568" i="1"/>
  <c r="C570" i="1"/>
  <c r="C569" i="1" s="1"/>
  <c r="C568" i="1" s="1"/>
  <c r="B570" i="1"/>
  <c r="B569" i="1" s="1"/>
  <c r="C505" i="1"/>
  <c r="F505" i="1" s="1"/>
  <c r="D505" i="1"/>
  <c r="E505" i="1"/>
  <c r="B505" i="1"/>
  <c r="B504" i="1" s="1"/>
  <c r="C564" i="1"/>
  <c r="C563" i="1" s="1"/>
  <c r="D558" i="1"/>
  <c r="D554" i="1" s="1"/>
  <c r="E558" i="1"/>
  <c r="E554" i="1" s="1"/>
  <c r="B558" i="1"/>
  <c r="B554" i="1" s="1"/>
  <c r="G565" i="1"/>
  <c r="F565" i="1"/>
  <c r="G564" i="1"/>
  <c r="G563" i="1"/>
  <c r="G562" i="1"/>
  <c r="G561" i="1"/>
  <c r="G560" i="1"/>
  <c r="G559" i="1"/>
  <c r="C474" i="1"/>
  <c r="C473" i="1" s="1"/>
  <c r="D474" i="1"/>
  <c r="D473" i="1" s="1"/>
  <c r="E474" i="1"/>
  <c r="E473" i="1" s="1"/>
  <c r="B474" i="1"/>
  <c r="B473" i="1" s="1"/>
  <c r="F553" i="1"/>
  <c r="F552" i="1"/>
  <c r="F551" i="1"/>
  <c r="F488" i="1"/>
  <c r="C495" i="1"/>
  <c r="C494" i="1" s="1"/>
  <c r="D495" i="1"/>
  <c r="D494" i="1" s="1"/>
  <c r="E495" i="1"/>
  <c r="E494" i="1" s="1"/>
  <c r="C485" i="1"/>
  <c r="C484" i="1" s="1"/>
  <c r="D485" i="1"/>
  <c r="D484" i="1" s="1"/>
  <c r="E485" i="1"/>
  <c r="E484" i="1" s="1"/>
  <c r="F471" i="1"/>
  <c r="F470" i="1"/>
  <c r="F469" i="1"/>
  <c r="C445" i="1"/>
  <c r="D445" i="1"/>
  <c r="E445" i="1"/>
  <c r="B445" i="1"/>
  <c r="C417" i="1"/>
  <c r="C416" i="1" s="1"/>
  <c r="D417" i="1"/>
  <c r="D416" i="1" s="1"/>
  <c r="E417" i="1"/>
  <c r="E416" i="1" s="1"/>
  <c r="B417" i="1"/>
  <c r="B416" i="1" s="1"/>
  <c r="C402" i="1"/>
  <c r="D402" i="1"/>
  <c r="E402" i="1"/>
  <c r="C383" i="1"/>
  <c r="D383" i="1"/>
  <c r="E383" i="1"/>
  <c r="B383" i="1"/>
  <c r="G383" i="1" s="1"/>
  <c r="G382" i="1"/>
  <c r="G381" i="1"/>
  <c r="G380" i="1"/>
  <c r="C354" i="1"/>
  <c r="D354" i="1"/>
  <c r="E354" i="1"/>
  <c r="B354" i="1"/>
  <c r="D341" i="1"/>
  <c r="E341" i="1"/>
  <c r="C329" i="1"/>
  <c r="C328" i="1"/>
  <c r="C327" i="1"/>
  <c r="F327" i="1" s="1"/>
  <c r="C326" i="1"/>
  <c r="C325" i="1"/>
  <c r="F325" i="1" s="1"/>
  <c r="C324" i="1"/>
  <c r="C323" i="1"/>
  <c r="C322" i="1"/>
  <c r="C308" i="1"/>
  <c r="C307" i="1"/>
  <c r="F307" i="1" s="1"/>
  <c r="C306" i="1"/>
  <c r="F306" i="1" s="1"/>
  <c r="C305" i="1"/>
  <c r="F305" i="1" s="1"/>
  <c r="C304" i="1"/>
  <c r="C303" i="1"/>
  <c r="C302" i="1"/>
  <c r="F302" i="1" s="1"/>
  <c r="C301" i="1"/>
  <c r="C279" i="1"/>
  <c r="F279" i="1" s="1"/>
  <c r="C278" i="1"/>
  <c r="F278" i="1" s="1"/>
  <c r="C280" i="1"/>
  <c r="D280" i="1"/>
  <c r="E280" i="1"/>
  <c r="B280" i="1"/>
  <c r="D277" i="1"/>
  <c r="E277" i="1"/>
  <c r="B277" i="1"/>
  <c r="C273" i="1"/>
  <c r="C272" i="1" s="1"/>
  <c r="D273" i="1"/>
  <c r="D272" i="1" s="1"/>
  <c r="E273" i="1"/>
  <c r="E272" i="1" s="1"/>
  <c r="B273" i="1"/>
  <c r="B272" i="1" s="1"/>
  <c r="C237" i="1"/>
  <c r="D237" i="1"/>
  <c r="E237" i="1"/>
  <c r="B267" i="1"/>
  <c r="G254" i="1"/>
  <c r="F254" i="1"/>
  <c r="G253" i="1"/>
  <c r="F253" i="1"/>
  <c r="G271" i="1"/>
  <c r="F271" i="1"/>
  <c r="G270" i="1"/>
  <c r="F270" i="1"/>
  <c r="G269" i="1"/>
  <c r="F269" i="1"/>
  <c r="G268" i="1"/>
  <c r="F268" i="1"/>
  <c r="G249" i="1"/>
  <c r="F249" i="1"/>
  <c r="G248" i="1"/>
  <c r="F248" i="1"/>
  <c r="G247" i="1"/>
  <c r="F247" i="1"/>
  <c r="G246" i="1"/>
  <c r="F246" i="1"/>
  <c r="G245" i="1"/>
  <c r="F245" i="1"/>
  <c r="G244" i="1"/>
  <c r="F244" i="1"/>
  <c r="G243" i="1"/>
  <c r="F243" i="1"/>
  <c r="G242" i="1"/>
  <c r="F242" i="1"/>
  <c r="G241" i="1"/>
  <c r="F241" i="1"/>
  <c r="G240" i="1"/>
  <c r="F240" i="1"/>
  <c r="G239" i="1"/>
  <c r="F239" i="1"/>
  <c r="G238" i="1"/>
  <c r="F238" i="1"/>
  <c r="D215" i="1"/>
  <c r="G215" i="1" s="1"/>
  <c r="E215" i="1"/>
  <c r="D226" i="1"/>
  <c r="G226" i="1" s="1"/>
  <c r="E226" i="1"/>
  <c r="C226" i="1"/>
  <c r="C224" i="1"/>
  <c r="F224" i="1" s="1"/>
  <c r="C223" i="1"/>
  <c r="F223" i="1" s="1"/>
  <c r="C222" i="1"/>
  <c r="F222" i="1" s="1"/>
  <c r="C218" i="1"/>
  <c r="C221" i="1"/>
  <c r="F221" i="1" s="1"/>
  <c r="C220" i="1"/>
  <c r="C217" i="1"/>
  <c r="F217" i="1" s="1"/>
  <c r="C216" i="1"/>
  <c r="F216" i="1" s="1"/>
  <c r="D200" i="1"/>
  <c r="D199" i="1" s="1"/>
  <c r="G199" i="1" s="1"/>
  <c r="E200" i="1"/>
  <c r="E199" i="1" s="1"/>
  <c r="C198" i="1"/>
  <c r="C197" i="1"/>
  <c r="F197" i="1" s="1"/>
  <c r="C195" i="1"/>
  <c r="F195" i="1" s="1"/>
  <c r="C194" i="1"/>
  <c r="C193" i="1"/>
  <c r="F193" i="1" s="1"/>
  <c r="C192" i="1"/>
  <c r="F192" i="1" s="1"/>
  <c r="C191" i="1"/>
  <c r="F191" i="1" s="1"/>
  <c r="C189" i="1"/>
  <c r="C188" i="1"/>
  <c r="F188" i="1" s="1"/>
  <c r="C187" i="1"/>
  <c r="F187" i="1" s="1"/>
  <c r="D186" i="1"/>
  <c r="D138" i="1" s="1"/>
  <c r="E186" i="1"/>
  <c r="E138" i="1" s="1"/>
  <c r="B186" i="1"/>
  <c r="G155" i="1"/>
  <c r="G150" i="1"/>
  <c r="F150" i="1"/>
  <c r="F151" i="1"/>
  <c r="G151" i="1"/>
  <c r="F152" i="1"/>
  <c r="G152" i="1"/>
  <c r="G153" i="1"/>
  <c r="G154" i="1"/>
  <c r="F156" i="1"/>
  <c r="G156" i="1"/>
  <c r="F157" i="1"/>
  <c r="G157" i="1"/>
  <c r="F158" i="1"/>
  <c r="G158" i="1"/>
  <c r="F159" i="1"/>
  <c r="G159" i="1"/>
  <c r="F160" i="1"/>
  <c r="G160" i="1"/>
  <c r="G161" i="1"/>
  <c r="B139" i="1"/>
  <c r="G139" i="1" s="1"/>
  <c r="C135" i="1"/>
  <c r="F135" i="1" s="1"/>
  <c r="C134" i="1"/>
  <c r="F134" i="1" s="1"/>
  <c r="C133" i="1"/>
  <c r="F133" i="1" s="1"/>
  <c r="C132" i="1"/>
  <c r="C131" i="1"/>
  <c r="F131" i="1" s="1"/>
  <c r="C130" i="1"/>
  <c r="F130" i="1" s="1"/>
  <c r="C128" i="1"/>
  <c r="C127" i="1"/>
  <c r="F127" i="1" s="1"/>
  <c r="C126" i="1"/>
  <c r="F126" i="1" s="1"/>
  <c r="G572" i="3"/>
  <c r="F572" i="3"/>
  <c r="G571" i="3"/>
  <c r="F571" i="3"/>
  <c r="G570" i="3"/>
  <c r="F570" i="3"/>
  <c r="G569" i="3"/>
  <c r="F569" i="3"/>
  <c r="G568" i="3"/>
  <c r="G567" i="3"/>
  <c r="G566" i="3"/>
  <c r="G565" i="3"/>
  <c r="G564" i="3"/>
  <c r="G563" i="3"/>
  <c r="G562" i="3"/>
  <c r="G561" i="3"/>
  <c r="G560" i="3"/>
  <c r="G559" i="3"/>
  <c r="G558" i="3"/>
  <c r="F558" i="3"/>
  <c r="E557" i="3"/>
  <c r="D557" i="3"/>
  <c r="G557" i="3" s="1"/>
  <c r="C557" i="3"/>
  <c r="B557" i="3"/>
  <c r="G556" i="3"/>
  <c r="G555" i="3"/>
  <c r="G554" i="3"/>
  <c r="G553" i="3"/>
  <c r="G552" i="3"/>
  <c r="E551" i="3"/>
  <c r="D551" i="3"/>
  <c r="G551" i="3" s="1"/>
  <c r="C551" i="3"/>
  <c r="B551" i="3"/>
  <c r="G550" i="3"/>
  <c r="G549" i="3"/>
  <c r="G548" i="3"/>
  <c r="E547" i="3"/>
  <c r="D547" i="3"/>
  <c r="C547" i="3"/>
  <c r="B547" i="3"/>
  <c r="G547" i="3" s="1"/>
  <c r="G546" i="3"/>
  <c r="G545" i="3"/>
  <c r="G544" i="3"/>
  <c r="G543" i="3"/>
  <c r="E543" i="3"/>
  <c r="D543" i="3"/>
  <c r="C543" i="3"/>
  <c r="B543" i="3"/>
  <c r="G542" i="3"/>
  <c r="G541" i="3"/>
  <c r="G540" i="3"/>
  <c r="G539" i="3"/>
  <c r="G538" i="3"/>
  <c r="G537" i="3"/>
  <c r="G536" i="3"/>
  <c r="E536" i="3"/>
  <c r="D536" i="3"/>
  <c r="C536" i="3"/>
  <c r="B536" i="3"/>
  <c r="G535" i="3"/>
  <c r="F535" i="3"/>
  <c r="G534" i="3"/>
  <c r="F534" i="3"/>
  <c r="G533" i="3"/>
  <c r="F533" i="3"/>
  <c r="G532" i="3"/>
  <c r="F532" i="3"/>
  <c r="G531" i="3"/>
  <c r="E531" i="3"/>
  <c r="D531" i="3"/>
  <c r="C531" i="3"/>
  <c r="F531" i="3" s="1"/>
  <c r="B531" i="3"/>
  <c r="G530" i="3"/>
  <c r="G529" i="3"/>
  <c r="G528" i="3"/>
  <c r="G527" i="3"/>
  <c r="F527" i="3"/>
  <c r="G526" i="3"/>
  <c r="F526" i="3"/>
  <c r="G525" i="3"/>
  <c r="F525" i="3"/>
  <c r="G524" i="3"/>
  <c r="F524" i="3"/>
  <c r="G523" i="3"/>
  <c r="F523" i="3"/>
  <c r="G522" i="3"/>
  <c r="F522" i="3"/>
  <c r="G521" i="3"/>
  <c r="F521" i="3"/>
  <c r="G520" i="3"/>
  <c r="G519" i="3"/>
  <c r="F519" i="3"/>
  <c r="G518" i="3"/>
  <c r="F518" i="3"/>
  <c r="G517" i="3"/>
  <c r="F517" i="3"/>
  <c r="G516" i="3"/>
  <c r="G515" i="3"/>
  <c r="G514" i="3"/>
  <c r="F514" i="3"/>
  <c r="G513" i="3"/>
  <c r="F513" i="3"/>
  <c r="G512" i="3"/>
  <c r="F512" i="3"/>
  <c r="G511" i="3"/>
  <c r="F511" i="3"/>
  <c r="G510" i="3"/>
  <c r="F510" i="3"/>
  <c r="G509" i="3"/>
  <c r="F509" i="3"/>
  <c r="G508" i="3"/>
  <c r="G507" i="3"/>
  <c r="F507" i="3"/>
  <c r="G506" i="3"/>
  <c r="F506" i="3"/>
  <c r="G505" i="3"/>
  <c r="F505" i="3"/>
  <c r="G504" i="3"/>
  <c r="G503" i="3"/>
  <c r="F503" i="3"/>
  <c r="G502" i="3"/>
  <c r="F502" i="3"/>
  <c r="G501" i="3"/>
  <c r="F501" i="3"/>
  <c r="G500" i="3"/>
  <c r="F500" i="3"/>
  <c r="G499" i="3"/>
  <c r="F499" i="3"/>
  <c r="G498" i="3"/>
  <c r="F498" i="3"/>
  <c r="G497" i="3"/>
  <c r="G496" i="3"/>
  <c r="F496" i="3"/>
  <c r="G495" i="3"/>
  <c r="F495" i="3"/>
  <c r="G494" i="3"/>
  <c r="F494" i="3"/>
  <c r="G493" i="3"/>
  <c r="G492" i="3"/>
  <c r="F492" i="3"/>
  <c r="G491" i="3"/>
  <c r="F491" i="3"/>
  <c r="G490" i="3"/>
  <c r="F490" i="3"/>
  <c r="G489" i="3"/>
  <c r="F489" i="3"/>
  <c r="G488" i="3"/>
  <c r="G487" i="3"/>
  <c r="F487" i="3"/>
  <c r="G486" i="3"/>
  <c r="G485" i="3"/>
  <c r="F485" i="3"/>
  <c r="G484" i="3"/>
  <c r="F484" i="3"/>
  <c r="G483" i="3"/>
  <c r="F483" i="3"/>
  <c r="G482" i="3"/>
  <c r="F482" i="3"/>
  <c r="E481" i="3"/>
  <c r="D481" i="3"/>
  <c r="G481" i="3" s="1"/>
  <c r="C481" i="3"/>
  <c r="B481" i="3"/>
  <c r="G480" i="3"/>
  <c r="F480" i="3"/>
  <c r="G479" i="3"/>
  <c r="F479" i="3"/>
  <c r="G478" i="3"/>
  <c r="F478" i="3"/>
  <c r="G477" i="3"/>
  <c r="F477" i="3"/>
  <c r="G476" i="3"/>
  <c r="F476" i="3"/>
  <c r="G475" i="3"/>
  <c r="G474" i="3"/>
  <c r="F474" i="3"/>
  <c r="G473" i="3"/>
  <c r="F473" i="3"/>
  <c r="E472" i="3"/>
  <c r="D472" i="3"/>
  <c r="G472" i="3" s="1"/>
  <c r="C472" i="3"/>
  <c r="C471" i="3" s="1"/>
  <c r="F471" i="3" s="1"/>
  <c r="B472" i="3"/>
  <c r="G471" i="3"/>
  <c r="G470" i="3"/>
  <c r="F470" i="3"/>
  <c r="G469" i="3"/>
  <c r="F469" i="3"/>
  <c r="G468" i="3"/>
  <c r="F468" i="3"/>
  <c r="G467" i="3"/>
  <c r="F467" i="3"/>
  <c r="G466" i="3"/>
  <c r="F466" i="3"/>
  <c r="G465" i="3"/>
  <c r="G464" i="3"/>
  <c r="F464" i="3"/>
  <c r="G463" i="3"/>
  <c r="F463" i="3"/>
  <c r="E462" i="3"/>
  <c r="D462" i="3"/>
  <c r="G462" i="3" s="1"/>
  <c r="C462" i="3"/>
  <c r="C461" i="3" s="1"/>
  <c r="F461" i="3" s="1"/>
  <c r="B462" i="3"/>
  <c r="G461" i="3"/>
  <c r="G460" i="3"/>
  <c r="F460" i="3"/>
  <c r="G459" i="3"/>
  <c r="F459" i="3"/>
  <c r="G458" i="3"/>
  <c r="F458" i="3"/>
  <c r="G457" i="3"/>
  <c r="F457" i="3"/>
  <c r="G456" i="3"/>
  <c r="F456" i="3"/>
  <c r="G455" i="3"/>
  <c r="G454" i="3"/>
  <c r="F454" i="3"/>
  <c r="G453" i="3"/>
  <c r="F453" i="3"/>
  <c r="E452" i="3"/>
  <c r="D452" i="3"/>
  <c r="G452" i="3" s="1"/>
  <c r="C452" i="3"/>
  <c r="C451" i="3" s="1"/>
  <c r="B452" i="3"/>
  <c r="G451" i="3"/>
  <c r="E450" i="3"/>
  <c r="D450" i="3"/>
  <c r="G450" i="3" s="1"/>
  <c r="B450" i="3"/>
  <c r="G449" i="3"/>
  <c r="G448" i="3"/>
  <c r="G447" i="3"/>
  <c r="G446" i="3"/>
  <c r="G445" i="3"/>
  <c r="F445" i="3"/>
  <c r="G444" i="3"/>
  <c r="F444" i="3"/>
  <c r="G443" i="3"/>
  <c r="F443" i="3"/>
  <c r="G442" i="3"/>
  <c r="F442" i="3"/>
  <c r="G441" i="3"/>
  <c r="F441" i="3"/>
  <c r="G440" i="3"/>
  <c r="F440" i="3"/>
  <c r="G439" i="3"/>
  <c r="F439" i="3"/>
  <c r="G438" i="3"/>
  <c r="F438" i="3"/>
  <c r="G437" i="3"/>
  <c r="F437" i="3"/>
  <c r="G436" i="3"/>
  <c r="G435" i="3"/>
  <c r="G434" i="3"/>
  <c r="G433" i="3"/>
  <c r="G432" i="3"/>
  <c r="F432" i="3"/>
  <c r="G431" i="3"/>
  <c r="F431" i="3"/>
  <c r="G430" i="3"/>
  <c r="F430" i="3"/>
  <c r="G429" i="3"/>
  <c r="F429" i="3"/>
  <c r="G428" i="3"/>
  <c r="F428" i="3"/>
  <c r="G427" i="3"/>
  <c r="F427" i="3"/>
  <c r="G426" i="3"/>
  <c r="F426" i="3"/>
  <c r="G425" i="3"/>
  <c r="F425" i="3"/>
  <c r="G424" i="3"/>
  <c r="F424" i="3"/>
  <c r="G423" i="3"/>
  <c r="F423" i="3"/>
  <c r="G422" i="3"/>
  <c r="F422" i="3"/>
  <c r="G421" i="3"/>
  <c r="F421" i="3"/>
  <c r="G420" i="3"/>
  <c r="F420" i="3"/>
  <c r="G419" i="3"/>
  <c r="F419" i="3"/>
  <c r="G418" i="3"/>
  <c r="G417" i="3"/>
  <c r="F417" i="3"/>
  <c r="G416" i="3"/>
  <c r="F416" i="3"/>
  <c r="G415" i="3"/>
  <c r="F415" i="3"/>
  <c r="G414" i="3"/>
  <c r="F414" i="3"/>
  <c r="G413" i="3"/>
  <c r="F413" i="3"/>
  <c r="C413" i="3"/>
  <c r="G412" i="3"/>
  <c r="C412" i="3"/>
  <c r="F412" i="3" s="1"/>
  <c r="G411" i="3"/>
  <c r="G410" i="3"/>
  <c r="F410" i="3"/>
  <c r="G409" i="3"/>
  <c r="F409" i="3"/>
  <c r="G408" i="3"/>
  <c r="F408" i="3"/>
  <c r="G407" i="3"/>
  <c r="G406" i="3"/>
  <c r="G405" i="3"/>
  <c r="F405" i="3"/>
  <c r="G404" i="3"/>
  <c r="F404" i="3"/>
  <c r="G403" i="3"/>
  <c r="F403" i="3"/>
  <c r="G402" i="3"/>
  <c r="F402" i="3"/>
  <c r="G401" i="3"/>
  <c r="F401" i="3"/>
  <c r="G400" i="3"/>
  <c r="F400" i="3"/>
  <c r="G399" i="3"/>
  <c r="G398" i="3"/>
  <c r="G397" i="3"/>
  <c r="F397" i="3"/>
  <c r="G396" i="3"/>
  <c r="F396" i="3"/>
  <c r="G395" i="3"/>
  <c r="F395" i="3"/>
  <c r="G394" i="3"/>
  <c r="F394" i="3"/>
  <c r="G393" i="3"/>
  <c r="E393" i="3"/>
  <c r="D393" i="3"/>
  <c r="C393" i="3"/>
  <c r="F393" i="3" s="1"/>
  <c r="B393" i="3"/>
  <c r="G392" i="3"/>
  <c r="F392" i="3"/>
  <c r="G391" i="3"/>
  <c r="F391" i="3"/>
  <c r="G390" i="3"/>
  <c r="C390" i="3"/>
  <c r="C389" i="3" s="1"/>
  <c r="G389" i="3"/>
  <c r="G388" i="3"/>
  <c r="F388" i="3"/>
  <c r="G387" i="3"/>
  <c r="F387" i="3"/>
  <c r="G386" i="3"/>
  <c r="F386" i="3"/>
  <c r="G385" i="3"/>
  <c r="F385" i="3"/>
  <c r="G384" i="3"/>
  <c r="F384" i="3"/>
  <c r="G383" i="3"/>
  <c r="F383" i="3"/>
  <c r="G382" i="3"/>
  <c r="F382" i="3"/>
  <c r="G381" i="3"/>
  <c r="F381" i="3"/>
  <c r="G380" i="3"/>
  <c r="E380" i="3"/>
  <c r="D380" i="3"/>
  <c r="B380" i="3"/>
  <c r="G379" i="3"/>
  <c r="F379" i="3"/>
  <c r="G378" i="3"/>
  <c r="F378" i="3"/>
  <c r="G377" i="3"/>
  <c r="F377" i="3"/>
  <c r="G376" i="3"/>
  <c r="F376" i="3"/>
  <c r="G375" i="3"/>
  <c r="F375" i="3"/>
  <c r="G374" i="3"/>
  <c r="F374" i="3"/>
  <c r="G373" i="3"/>
  <c r="F373" i="3"/>
  <c r="G372" i="3"/>
  <c r="F372" i="3"/>
  <c r="G371" i="3"/>
  <c r="F371" i="3"/>
  <c r="G370" i="3"/>
  <c r="F370" i="3"/>
  <c r="G369" i="3"/>
  <c r="F369" i="3"/>
  <c r="G368" i="3"/>
  <c r="F368" i="3"/>
  <c r="G367" i="3"/>
  <c r="F367" i="3"/>
  <c r="G366" i="3"/>
  <c r="F366" i="3"/>
  <c r="G365" i="3"/>
  <c r="F365" i="3"/>
  <c r="G364" i="3"/>
  <c r="F364" i="3"/>
  <c r="G363" i="3"/>
  <c r="F363" i="3"/>
  <c r="G362" i="3"/>
  <c r="F362" i="3"/>
  <c r="G361" i="3"/>
  <c r="F361" i="3"/>
  <c r="G360" i="3"/>
  <c r="F360" i="3"/>
  <c r="G359" i="3"/>
  <c r="F359" i="3"/>
  <c r="G358" i="3"/>
  <c r="F358" i="3"/>
  <c r="G357" i="3"/>
  <c r="F357" i="3"/>
  <c r="G356" i="3"/>
  <c r="F356" i="3"/>
  <c r="G355" i="3"/>
  <c r="F355" i="3"/>
  <c r="G354" i="3"/>
  <c r="F354" i="3"/>
  <c r="G353" i="3"/>
  <c r="G352" i="3"/>
  <c r="F352" i="3"/>
  <c r="G351" i="3"/>
  <c r="F351" i="3"/>
  <c r="G350" i="3"/>
  <c r="F350" i="3"/>
  <c r="G349" i="3"/>
  <c r="F349" i="3"/>
  <c r="G348" i="3"/>
  <c r="F348" i="3"/>
  <c r="G347" i="3"/>
  <c r="F347" i="3"/>
  <c r="G346" i="3"/>
  <c r="F346" i="3"/>
  <c r="G345" i="3"/>
  <c r="F345" i="3"/>
  <c r="G344" i="3"/>
  <c r="G343" i="3"/>
  <c r="F343" i="3"/>
  <c r="G342" i="3"/>
  <c r="F342" i="3"/>
  <c r="G341" i="3"/>
  <c r="F341" i="3"/>
  <c r="G340" i="3"/>
  <c r="F340" i="3"/>
  <c r="G339" i="3"/>
  <c r="G338" i="3"/>
  <c r="F338" i="3"/>
  <c r="G337" i="3"/>
  <c r="F337" i="3"/>
  <c r="G336" i="3"/>
  <c r="F336" i="3"/>
  <c r="G335" i="3"/>
  <c r="F335" i="3"/>
  <c r="G334" i="3"/>
  <c r="G333" i="3"/>
  <c r="G332" i="3"/>
  <c r="G331" i="3"/>
  <c r="G330" i="3"/>
  <c r="F330" i="3"/>
  <c r="G329" i="3"/>
  <c r="F329" i="3"/>
  <c r="G328" i="3"/>
  <c r="F328" i="3"/>
  <c r="G327" i="3"/>
  <c r="F327" i="3"/>
  <c r="G326" i="3"/>
  <c r="F326" i="3"/>
  <c r="G325" i="3"/>
  <c r="G324" i="3"/>
  <c r="F324" i="3"/>
  <c r="G323" i="3"/>
  <c r="F323" i="3"/>
  <c r="G322" i="3"/>
  <c r="C322" i="3"/>
  <c r="F322" i="3" s="1"/>
  <c r="B322" i="3"/>
  <c r="G321" i="3"/>
  <c r="G320" i="3"/>
  <c r="F320" i="3"/>
  <c r="G319" i="3"/>
  <c r="F319" i="3"/>
  <c r="G318" i="3"/>
  <c r="F318" i="3"/>
  <c r="G317" i="3"/>
  <c r="F317" i="3"/>
  <c r="G316" i="3"/>
  <c r="F316" i="3"/>
  <c r="G315" i="3"/>
  <c r="G314" i="3"/>
  <c r="F314" i="3"/>
  <c r="G313" i="3"/>
  <c r="F313" i="3"/>
  <c r="G312" i="3"/>
  <c r="F312" i="3"/>
  <c r="G311" i="3"/>
  <c r="G310" i="3"/>
  <c r="F310" i="3"/>
  <c r="C310" i="3"/>
  <c r="G309" i="3"/>
  <c r="C309" i="3"/>
  <c r="F309" i="3" s="1"/>
  <c r="G308" i="3"/>
  <c r="F308" i="3"/>
  <c r="C308" i="3"/>
  <c r="G307" i="3"/>
  <c r="C307" i="3"/>
  <c r="F307" i="3" s="1"/>
  <c r="G306" i="3"/>
  <c r="F306" i="3"/>
  <c r="C306" i="3"/>
  <c r="G305" i="3"/>
  <c r="G304" i="3"/>
  <c r="F304" i="3"/>
  <c r="C304" i="3"/>
  <c r="G303" i="3"/>
  <c r="C303" i="3"/>
  <c r="C302" i="3" s="1"/>
  <c r="G302" i="3"/>
  <c r="B302" i="3"/>
  <c r="E301" i="3"/>
  <c r="D301" i="3"/>
  <c r="G301" i="3" s="1"/>
  <c r="B301" i="3"/>
  <c r="G300" i="3"/>
  <c r="G299" i="3"/>
  <c r="F299" i="3"/>
  <c r="G298" i="3"/>
  <c r="F298" i="3"/>
  <c r="G297" i="3"/>
  <c r="F297" i="3"/>
  <c r="G296" i="3"/>
  <c r="F296" i="3"/>
  <c r="G295" i="3"/>
  <c r="F295" i="3"/>
  <c r="G294" i="3"/>
  <c r="F294" i="3"/>
  <c r="G293" i="3"/>
  <c r="F293" i="3"/>
  <c r="G292" i="3"/>
  <c r="F292" i="3"/>
  <c r="G291" i="3"/>
  <c r="F291" i="3"/>
  <c r="G290" i="3"/>
  <c r="G289" i="3"/>
  <c r="F289" i="3"/>
  <c r="C289" i="3"/>
  <c r="G288" i="3"/>
  <c r="C288" i="3"/>
  <c r="F288" i="3" s="1"/>
  <c r="G287" i="3"/>
  <c r="F287" i="3"/>
  <c r="C287" i="3"/>
  <c r="G286" i="3"/>
  <c r="C286" i="3"/>
  <c r="F286" i="3" s="1"/>
  <c r="G285" i="3"/>
  <c r="C285" i="3"/>
  <c r="F285" i="3" s="1"/>
  <c r="G284" i="3"/>
  <c r="C284" i="3"/>
  <c r="G283" i="3"/>
  <c r="C283" i="3"/>
  <c r="C281" i="3" s="1"/>
  <c r="G282" i="3"/>
  <c r="F282" i="3"/>
  <c r="C282" i="3"/>
  <c r="G281" i="3"/>
  <c r="G280" i="3"/>
  <c r="F280" i="3"/>
  <c r="G279" i="3"/>
  <c r="F279" i="3"/>
  <c r="G278" i="3"/>
  <c r="F278" i="3"/>
  <c r="G277" i="3"/>
  <c r="G276" i="3"/>
  <c r="F276" i="3"/>
  <c r="G275" i="3"/>
  <c r="F275" i="3"/>
  <c r="G274" i="3"/>
  <c r="F274" i="3"/>
  <c r="G273" i="3"/>
  <c r="F273" i="3"/>
  <c r="G272" i="3"/>
  <c r="F272" i="3"/>
  <c r="G271" i="3"/>
  <c r="G270" i="3"/>
  <c r="F270" i="3"/>
  <c r="G269" i="3"/>
  <c r="F269" i="3"/>
  <c r="G268" i="3"/>
  <c r="F268" i="3"/>
  <c r="G267" i="3"/>
  <c r="F267" i="3"/>
  <c r="G266" i="3"/>
  <c r="F266" i="3"/>
  <c r="G265" i="3"/>
  <c r="F265" i="3"/>
  <c r="E264" i="3"/>
  <c r="D264" i="3"/>
  <c r="G264" i="3" s="1"/>
  <c r="B264" i="3"/>
  <c r="G263" i="3"/>
  <c r="F263" i="3"/>
  <c r="G262" i="3"/>
  <c r="F262" i="3"/>
  <c r="G261" i="3"/>
  <c r="F261" i="3"/>
  <c r="G260" i="3"/>
  <c r="F260" i="3"/>
  <c r="G259" i="3"/>
  <c r="F259" i="3"/>
  <c r="G258" i="3"/>
  <c r="F258" i="3"/>
  <c r="G257" i="3"/>
  <c r="F257" i="3"/>
  <c r="G256" i="3"/>
  <c r="F256" i="3"/>
  <c r="G255" i="3"/>
  <c r="F255" i="3"/>
  <c r="G254" i="3"/>
  <c r="F254" i="3"/>
  <c r="G253" i="3"/>
  <c r="F253" i="3"/>
  <c r="G252" i="3"/>
  <c r="G251" i="3"/>
  <c r="C251" i="3"/>
  <c r="F251" i="3" s="1"/>
  <c r="G250" i="3"/>
  <c r="F250" i="3"/>
  <c r="C250" i="3"/>
  <c r="C249" i="3" s="1"/>
  <c r="C236" i="3" s="1"/>
  <c r="G249" i="3"/>
  <c r="E249" i="3"/>
  <c r="D249" i="3"/>
  <c r="F249" i="3" s="1"/>
  <c r="B249" i="3"/>
  <c r="G248" i="3"/>
  <c r="F248" i="3"/>
  <c r="G247" i="3"/>
  <c r="F247" i="3"/>
  <c r="G246" i="3"/>
  <c r="F246" i="3"/>
  <c r="G245" i="3"/>
  <c r="F245" i="3"/>
  <c r="G244" i="3"/>
  <c r="F244" i="3"/>
  <c r="G243" i="3"/>
  <c r="F243" i="3"/>
  <c r="G242" i="3"/>
  <c r="F242" i="3"/>
  <c r="G241" i="3"/>
  <c r="F241" i="3"/>
  <c r="G240" i="3"/>
  <c r="F240" i="3"/>
  <c r="G239" i="3"/>
  <c r="F239" i="3"/>
  <c r="G238" i="3"/>
  <c r="F238" i="3"/>
  <c r="G237" i="3"/>
  <c r="F237" i="3"/>
  <c r="E236" i="3"/>
  <c r="D236" i="3"/>
  <c r="B236" i="3"/>
  <c r="G236" i="3" s="1"/>
  <c r="G235" i="3"/>
  <c r="G234" i="3"/>
  <c r="F234" i="3"/>
  <c r="G233" i="3"/>
  <c r="F233" i="3"/>
  <c r="G232" i="3"/>
  <c r="F232" i="3"/>
  <c r="G231" i="3"/>
  <c r="F231" i="3"/>
  <c r="G230" i="3"/>
  <c r="F230" i="3"/>
  <c r="G229" i="3"/>
  <c r="G228" i="3"/>
  <c r="G227" i="3"/>
  <c r="F227" i="3"/>
  <c r="G226" i="3"/>
  <c r="F226" i="3"/>
  <c r="G225" i="3"/>
  <c r="F225" i="3"/>
  <c r="G224" i="3"/>
  <c r="G223" i="3"/>
  <c r="C223" i="3"/>
  <c r="F223" i="3" s="1"/>
  <c r="G222" i="3"/>
  <c r="F222" i="3"/>
  <c r="C222" i="3"/>
  <c r="G221" i="3"/>
  <c r="C221" i="3"/>
  <c r="F221" i="3" s="1"/>
  <c r="G220" i="3"/>
  <c r="F220" i="3"/>
  <c r="C220" i="3"/>
  <c r="G219" i="3"/>
  <c r="C219" i="3"/>
  <c r="F219" i="3" s="1"/>
  <c r="G218" i="3"/>
  <c r="G217" i="3"/>
  <c r="G216" i="3"/>
  <c r="F216" i="3"/>
  <c r="C216" i="3"/>
  <c r="G215" i="3"/>
  <c r="C215" i="3"/>
  <c r="F215" i="3" s="1"/>
  <c r="G214" i="3"/>
  <c r="G213" i="3"/>
  <c r="E213" i="3"/>
  <c r="D213" i="3"/>
  <c r="B213" i="3"/>
  <c r="G212" i="3"/>
  <c r="G211" i="3"/>
  <c r="G210" i="3"/>
  <c r="F210" i="3"/>
  <c r="G209" i="3"/>
  <c r="F209" i="3"/>
  <c r="G208" i="3"/>
  <c r="F208" i="3"/>
  <c r="G207" i="3"/>
  <c r="F207" i="3"/>
  <c r="G206" i="3"/>
  <c r="F206" i="3"/>
  <c r="G205" i="3"/>
  <c r="F205" i="3"/>
  <c r="G204" i="3"/>
  <c r="F204" i="3"/>
  <c r="G203" i="3"/>
  <c r="G202" i="3"/>
  <c r="G201" i="3"/>
  <c r="F201" i="3"/>
  <c r="G200" i="3"/>
  <c r="F200" i="3"/>
  <c r="G199" i="3"/>
  <c r="C199" i="3"/>
  <c r="F199" i="3" s="1"/>
  <c r="G198" i="3"/>
  <c r="G197" i="3"/>
  <c r="C197" i="3"/>
  <c r="G196" i="3"/>
  <c r="C196" i="3"/>
  <c r="F196" i="3" s="1"/>
  <c r="G195" i="3"/>
  <c r="F195" i="3"/>
  <c r="G194" i="3"/>
  <c r="C194" i="3"/>
  <c r="F194" i="3" s="1"/>
  <c r="G193" i="3"/>
  <c r="C193" i="3"/>
  <c r="F193" i="3" s="1"/>
  <c r="G192" i="3"/>
  <c r="F192" i="3"/>
  <c r="C192" i="3"/>
  <c r="G191" i="3"/>
  <c r="C191" i="3"/>
  <c r="F191" i="3" s="1"/>
  <c r="G190" i="3"/>
  <c r="F190" i="3"/>
  <c r="G189" i="3"/>
  <c r="G188" i="3"/>
  <c r="G187" i="3"/>
  <c r="F187" i="3"/>
  <c r="C187" i="3"/>
  <c r="G186" i="3"/>
  <c r="C186" i="3"/>
  <c r="C185" i="3" s="1"/>
  <c r="E185" i="3"/>
  <c r="D185" i="3"/>
  <c r="G185" i="3" s="1"/>
  <c r="B185" i="3"/>
  <c r="G184" i="3"/>
  <c r="G183" i="3"/>
  <c r="G182" i="3"/>
  <c r="F182" i="3"/>
  <c r="G181" i="3"/>
  <c r="F181" i="3"/>
  <c r="G180" i="3"/>
  <c r="F180" i="3"/>
  <c r="G179" i="3"/>
  <c r="F179" i="3"/>
  <c r="G178" i="3"/>
  <c r="F178" i="3"/>
  <c r="G177" i="3"/>
  <c r="G176" i="3"/>
  <c r="G175" i="3"/>
  <c r="F175" i="3"/>
  <c r="G174" i="3"/>
  <c r="F174" i="3"/>
  <c r="G173" i="3"/>
  <c r="F173" i="3"/>
  <c r="G172" i="3"/>
  <c r="G171" i="3"/>
  <c r="F171" i="3"/>
  <c r="G170" i="3"/>
  <c r="F170" i="3"/>
  <c r="G169" i="3"/>
  <c r="F169" i="3"/>
  <c r="G168" i="3"/>
  <c r="F168" i="3"/>
  <c r="G167" i="3"/>
  <c r="F167" i="3"/>
  <c r="G166" i="3"/>
  <c r="F166" i="3"/>
  <c r="G165" i="3"/>
  <c r="G164" i="3"/>
  <c r="G163" i="3"/>
  <c r="F163" i="3"/>
  <c r="G162" i="3"/>
  <c r="F162" i="3"/>
  <c r="G161" i="3"/>
  <c r="F161" i="3"/>
  <c r="G160" i="3"/>
  <c r="G159" i="3"/>
  <c r="F159" i="3"/>
  <c r="G158" i="3"/>
  <c r="F158" i="3"/>
  <c r="G157" i="3"/>
  <c r="F157" i="3"/>
  <c r="G156" i="3"/>
  <c r="F156" i="3"/>
  <c r="G155" i="3"/>
  <c r="F155" i="3"/>
  <c r="G154" i="3"/>
  <c r="G153" i="3"/>
  <c r="G152" i="3"/>
  <c r="F152" i="3"/>
  <c r="G151" i="3"/>
  <c r="F151" i="3"/>
  <c r="G150" i="3"/>
  <c r="F150" i="3"/>
  <c r="G149" i="3"/>
  <c r="G148" i="3"/>
  <c r="F148" i="3"/>
  <c r="G147" i="3"/>
  <c r="F147" i="3"/>
  <c r="G146" i="3"/>
  <c r="F146" i="3"/>
  <c r="G145" i="3"/>
  <c r="F145" i="3"/>
  <c r="G144" i="3"/>
  <c r="F144" i="3"/>
  <c r="G143" i="3"/>
  <c r="G142" i="3"/>
  <c r="G141" i="3"/>
  <c r="F141" i="3"/>
  <c r="G140" i="3"/>
  <c r="F140" i="3"/>
  <c r="G139" i="3"/>
  <c r="F139" i="3"/>
  <c r="G138" i="3"/>
  <c r="E138" i="3"/>
  <c r="D138" i="3"/>
  <c r="B138" i="3"/>
  <c r="G137" i="3"/>
  <c r="G136" i="3"/>
  <c r="F136" i="3"/>
  <c r="G135" i="3"/>
  <c r="C135" i="3"/>
  <c r="F135" i="3" s="1"/>
  <c r="G134" i="3"/>
  <c r="C134" i="3"/>
  <c r="F134" i="3" s="1"/>
  <c r="G133" i="3"/>
  <c r="C133" i="3"/>
  <c r="F133" i="3" s="1"/>
  <c r="G132" i="3"/>
  <c r="C132" i="3"/>
  <c r="F132" i="3" s="1"/>
  <c r="G131" i="3"/>
  <c r="C131" i="3"/>
  <c r="F131" i="3" s="1"/>
  <c r="G130" i="3"/>
  <c r="C130" i="3"/>
  <c r="F130" i="3" s="1"/>
  <c r="G129" i="3"/>
  <c r="F129" i="3"/>
  <c r="G128" i="3"/>
  <c r="F128" i="3"/>
  <c r="G127" i="3"/>
  <c r="C127" i="3"/>
  <c r="F127" i="3" s="1"/>
  <c r="G126" i="3"/>
  <c r="C126" i="3"/>
  <c r="F126" i="3" s="1"/>
  <c r="B125" i="3"/>
  <c r="G125" i="3" s="1"/>
  <c r="G124" i="3"/>
  <c r="G123" i="3"/>
  <c r="F123" i="3"/>
  <c r="G122" i="3"/>
  <c r="F122" i="3"/>
  <c r="G121" i="3"/>
  <c r="F121" i="3"/>
  <c r="G120" i="3"/>
  <c r="F120" i="3"/>
  <c r="G119" i="3"/>
  <c r="F119" i="3"/>
  <c r="G118" i="3"/>
  <c r="F118" i="3"/>
  <c r="G117" i="3"/>
  <c r="G116" i="3"/>
  <c r="F116" i="3"/>
  <c r="G115" i="3"/>
  <c r="F115" i="3"/>
  <c r="G114" i="3"/>
  <c r="F114" i="3"/>
  <c r="G113" i="3"/>
  <c r="F113" i="3"/>
  <c r="G112" i="3"/>
  <c r="F112" i="3"/>
  <c r="G111" i="3"/>
  <c r="F111" i="3"/>
  <c r="G110" i="3"/>
  <c r="F110" i="3"/>
  <c r="G109" i="3"/>
  <c r="F109" i="3"/>
  <c r="G108" i="3"/>
  <c r="G107" i="3"/>
  <c r="G106" i="3"/>
  <c r="F106" i="3"/>
  <c r="G105" i="3"/>
  <c r="F105" i="3"/>
  <c r="G104" i="3"/>
  <c r="F104" i="3"/>
  <c r="G103" i="3"/>
  <c r="G102" i="3"/>
  <c r="F102" i="3"/>
  <c r="G101" i="3"/>
  <c r="F101" i="3"/>
  <c r="G100" i="3"/>
  <c r="F100" i="3"/>
  <c r="G99" i="3"/>
  <c r="F99" i="3"/>
  <c r="G98" i="3"/>
  <c r="F98" i="3"/>
  <c r="G97" i="3"/>
  <c r="G96" i="3"/>
  <c r="G95" i="3"/>
  <c r="F95" i="3"/>
  <c r="G94" i="3"/>
  <c r="F94" i="3"/>
  <c r="G93" i="3"/>
  <c r="F93" i="3"/>
  <c r="E92" i="3"/>
  <c r="D92" i="3"/>
  <c r="E91" i="3"/>
  <c r="D91" i="3"/>
  <c r="G90" i="3"/>
  <c r="G89" i="3"/>
  <c r="F89" i="3"/>
  <c r="G88" i="3"/>
  <c r="F88" i="3"/>
  <c r="G87" i="3"/>
  <c r="F87" i="3"/>
  <c r="G86" i="3"/>
  <c r="F86" i="3"/>
  <c r="G85" i="3"/>
  <c r="F85" i="3"/>
  <c r="G84" i="3"/>
  <c r="G83" i="3"/>
  <c r="F83" i="3"/>
  <c r="G82" i="3"/>
  <c r="F82" i="3"/>
  <c r="G81" i="3"/>
  <c r="F81" i="3"/>
  <c r="G80" i="3"/>
  <c r="G79" i="3"/>
  <c r="G78" i="3"/>
  <c r="F78" i="3"/>
  <c r="G77" i="3"/>
  <c r="F77" i="3"/>
  <c r="G76" i="3"/>
  <c r="F76" i="3"/>
  <c r="G75" i="3"/>
  <c r="F75" i="3"/>
  <c r="G74" i="3"/>
  <c r="F74" i="3"/>
  <c r="G73" i="3"/>
  <c r="F73" i="3"/>
  <c r="G72" i="3"/>
  <c r="F72" i="3"/>
  <c r="G71" i="3"/>
  <c r="F71" i="3"/>
  <c r="G70" i="3"/>
  <c r="G69" i="3"/>
  <c r="F69" i="3"/>
  <c r="G68" i="3"/>
  <c r="F68" i="3"/>
  <c r="G67" i="3"/>
  <c r="F67" i="3"/>
  <c r="G66" i="3"/>
  <c r="G65" i="3"/>
  <c r="F65" i="3"/>
  <c r="G64" i="3"/>
  <c r="F64" i="3"/>
  <c r="G63" i="3"/>
  <c r="F63" i="3"/>
  <c r="G62" i="3"/>
  <c r="F62" i="3"/>
  <c r="G61" i="3"/>
  <c r="G60" i="3"/>
  <c r="F60" i="3"/>
  <c r="G59" i="3"/>
  <c r="F59" i="3"/>
  <c r="G58" i="3"/>
  <c r="F58" i="3"/>
  <c r="C58" i="3"/>
  <c r="G57" i="3"/>
  <c r="G56" i="3"/>
  <c r="F56" i="3"/>
  <c r="G55" i="3"/>
  <c r="F55" i="3"/>
  <c r="G54" i="3"/>
  <c r="F54" i="3"/>
  <c r="G53" i="3"/>
  <c r="F53" i="3"/>
  <c r="G52" i="3"/>
  <c r="F52" i="3"/>
  <c r="G51" i="3"/>
  <c r="F51" i="3"/>
  <c r="G50" i="3"/>
  <c r="F50" i="3"/>
  <c r="G49" i="3"/>
  <c r="F49" i="3"/>
  <c r="G48" i="3"/>
  <c r="F48" i="3"/>
  <c r="G47" i="3"/>
  <c r="F47" i="3"/>
  <c r="G46" i="3"/>
  <c r="F46" i="3"/>
  <c r="G45" i="3"/>
  <c r="F45" i="3"/>
  <c r="G44" i="3"/>
  <c r="F44" i="3"/>
  <c r="G43" i="3"/>
  <c r="F43" i="3"/>
  <c r="G42" i="3"/>
  <c r="F42" i="3"/>
  <c r="G41" i="3"/>
  <c r="F41" i="3"/>
  <c r="G40" i="3"/>
  <c r="F40" i="3"/>
  <c r="G39" i="3"/>
  <c r="F39" i="3"/>
  <c r="G38" i="3"/>
  <c r="G37" i="3"/>
  <c r="G36" i="3"/>
  <c r="F36" i="3"/>
  <c r="G35" i="3"/>
  <c r="F35" i="3"/>
  <c r="G34" i="3"/>
  <c r="F34" i="3"/>
  <c r="G33" i="3"/>
  <c r="F33" i="3"/>
  <c r="G32" i="3"/>
  <c r="G31" i="3"/>
  <c r="F31" i="3"/>
  <c r="G30" i="3"/>
  <c r="F30" i="3"/>
  <c r="G29" i="3"/>
  <c r="F29" i="3"/>
  <c r="G28" i="3"/>
  <c r="G27" i="3"/>
  <c r="F27" i="3"/>
  <c r="G26" i="3"/>
  <c r="G25" i="3"/>
  <c r="F25" i="3"/>
  <c r="G24" i="3"/>
  <c r="F24" i="3"/>
  <c r="G23" i="3"/>
  <c r="F23" i="3"/>
  <c r="G22" i="3"/>
  <c r="F22" i="3"/>
  <c r="G21" i="3"/>
  <c r="F21" i="3"/>
  <c r="G20" i="3"/>
  <c r="F20" i="3"/>
  <c r="G19" i="3"/>
  <c r="F19" i="3"/>
  <c r="G18" i="3"/>
  <c r="F18" i="3"/>
  <c r="G17" i="3"/>
  <c r="G16" i="3"/>
  <c r="F16" i="3"/>
  <c r="G15" i="3"/>
  <c r="F15" i="3"/>
  <c r="G14" i="3"/>
  <c r="F14" i="3"/>
  <c r="G13" i="3"/>
  <c r="F13" i="3"/>
  <c r="G12" i="3"/>
  <c r="F12" i="3"/>
  <c r="G11" i="3"/>
  <c r="F11" i="3"/>
  <c r="G10" i="3"/>
  <c r="F10" i="3"/>
  <c r="G9" i="3"/>
  <c r="F9" i="3"/>
  <c r="F8" i="3"/>
  <c r="E6" i="3"/>
  <c r="C8" i="3"/>
  <c r="C7" i="3" s="1"/>
  <c r="B8" i="3"/>
  <c r="B7" i="3"/>
  <c r="B402" i="1"/>
  <c r="D320" i="1"/>
  <c r="E320" i="1"/>
  <c r="G609" i="1"/>
  <c r="F609" i="1"/>
  <c r="G608" i="1"/>
  <c r="F608" i="1"/>
  <c r="G607" i="1"/>
  <c r="G606" i="1"/>
  <c r="G605" i="1"/>
  <c r="F605" i="1"/>
  <c r="G588" i="1"/>
  <c r="G587" i="1"/>
  <c r="G586" i="1"/>
  <c r="G585" i="1"/>
  <c r="G584" i="1"/>
  <c r="E583" i="1"/>
  <c r="D583" i="1"/>
  <c r="C583" i="1"/>
  <c r="B583" i="1"/>
  <c r="G582" i="1"/>
  <c r="G581" i="1"/>
  <c r="G580" i="1"/>
  <c r="E579" i="1"/>
  <c r="D579" i="1"/>
  <c r="C579" i="1"/>
  <c r="B579" i="1"/>
  <c r="G578" i="1"/>
  <c r="G577" i="1"/>
  <c r="G576" i="1"/>
  <c r="G574" i="1"/>
  <c r="G573" i="1"/>
  <c r="G572" i="1"/>
  <c r="G571" i="1"/>
  <c r="G570" i="1"/>
  <c r="G566" i="1"/>
  <c r="F566" i="1"/>
  <c r="G557" i="1"/>
  <c r="F557" i="1"/>
  <c r="G556" i="1"/>
  <c r="F556" i="1"/>
  <c r="G555" i="1"/>
  <c r="F555" i="1"/>
  <c r="G553" i="1"/>
  <c r="G552" i="1"/>
  <c r="G551" i="1"/>
  <c r="G550" i="1"/>
  <c r="F550" i="1"/>
  <c r="G549" i="1"/>
  <c r="F549" i="1"/>
  <c r="G548" i="1"/>
  <c r="F548" i="1"/>
  <c r="G547" i="1"/>
  <c r="F547" i="1"/>
  <c r="G546" i="1"/>
  <c r="F546" i="1"/>
  <c r="G545" i="1"/>
  <c r="F545" i="1"/>
  <c r="G544" i="1"/>
  <c r="F544" i="1"/>
  <c r="G543" i="1"/>
  <c r="G542" i="1"/>
  <c r="F542" i="1"/>
  <c r="G541" i="1"/>
  <c r="F541" i="1"/>
  <c r="G540" i="1"/>
  <c r="F540" i="1"/>
  <c r="G539" i="1"/>
  <c r="G538" i="1"/>
  <c r="G537" i="1"/>
  <c r="F537" i="1"/>
  <c r="G536" i="1"/>
  <c r="F536" i="1"/>
  <c r="G535" i="1"/>
  <c r="F535" i="1"/>
  <c r="G534" i="1"/>
  <c r="F534" i="1"/>
  <c r="G533" i="1"/>
  <c r="F533" i="1"/>
  <c r="G532" i="1"/>
  <c r="F532" i="1"/>
  <c r="G531" i="1"/>
  <c r="G530" i="1"/>
  <c r="F530" i="1"/>
  <c r="G529" i="1"/>
  <c r="F529" i="1"/>
  <c r="G528" i="1"/>
  <c r="F528" i="1"/>
  <c r="G527" i="1"/>
  <c r="G526" i="1"/>
  <c r="F526" i="1"/>
  <c r="G525" i="1"/>
  <c r="F525" i="1"/>
  <c r="G524" i="1"/>
  <c r="F524" i="1"/>
  <c r="G523" i="1"/>
  <c r="F523" i="1"/>
  <c r="G522" i="1"/>
  <c r="F522" i="1"/>
  <c r="G521" i="1"/>
  <c r="F521" i="1"/>
  <c r="G520" i="1"/>
  <c r="G519" i="1"/>
  <c r="F519" i="1"/>
  <c r="G518" i="1"/>
  <c r="F518" i="1"/>
  <c r="G517" i="1"/>
  <c r="F517" i="1"/>
  <c r="G516" i="1"/>
  <c r="G515" i="1"/>
  <c r="F515" i="1"/>
  <c r="G514" i="1"/>
  <c r="F514" i="1"/>
  <c r="G513" i="1"/>
  <c r="F513" i="1"/>
  <c r="G512" i="1"/>
  <c r="F512" i="1"/>
  <c r="G511" i="1"/>
  <c r="G510" i="1"/>
  <c r="F510" i="1"/>
  <c r="G509" i="1"/>
  <c r="G508" i="1"/>
  <c r="F508" i="1"/>
  <c r="G507" i="1"/>
  <c r="F507" i="1"/>
  <c r="G506" i="1"/>
  <c r="F506" i="1"/>
  <c r="G505" i="1"/>
  <c r="E504" i="1"/>
  <c r="D504" i="1"/>
  <c r="G503" i="1"/>
  <c r="F503" i="1"/>
  <c r="G502" i="1"/>
  <c r="F502" i="1"/>
  <c r="G501" i="1"/>
  <c r="F501" i="1"/>
  <c r="G500" i="1"/>
  <c r="F500" i="1"/>
  <c r="G499" i="1"/>
  <c r="F499" i="1"/>
  <c r="G498" i="1"/>
  <c r="G497" i="1"/>
  <c r="F497" i="1"/>
  <c r="G496" i="1"/>
  <c r="F496" i="1"/>
  <c r="B495" i="1"/>
  <c r="B494" i="1" s="1"/>
  <c r="G493" i="1"/>
  <c r="F493" i="1"/>
  <c r="G492" i="1"/>
  <c r="F492" i="1"/>
  <c r="G491" i="1"/>
  <c r="F491" i="1"/>
  <c r="G490" i="1"/>
  <c r="F490" i="1"/>
  <c r="G489" i="1"/>
  <c r="F489" i="1"/>
  <c r="G488" i="1"/>
  <c r="G487" i="1"/>
  <c r="F487" i="1"/>
  <c r="G486" i="1"/>
  <c r="F486" i="1"/>
  <c r="B485" i="1"/>
  <c r="B484" i="1" s="1"/>
  <c r="G482" i="1"/>
  <c r="F482" i="1"/>
  <c r="G481" i="1"/>
  <c r="F481" i="1"/>
  <c r="G480" i="1"/>
  <c r="F480" i="1"/>
  <c r="G479" i="1"/>
  <c r="F479" i="1"/>
  <c r="G478" i="1"/>
  <c r="F478" i="1"/>
  <c r="G477" i="1"/>
  <c r="G476" i="1"/>
  <c r="F476" i="1"/>
  <c r="G475" i="1"/>
  <c r="F475" i="1"/>
  <c r="G471" i="1"/>
  <c r="G470" i="1"/>
  <c r="G469" i="1"/>
  <c r="G468" i="1"/>
  <c r="G467" i="1"/>
  <c r="F467" i="1"/>
  <c r="G466" i="1"/>
  <c r="F466" i="1"/>
  <c r="G465" i="1"/>
  <c r="F465" i="1"/>
  <c r="G464" i="1"/>
  <c r="F464" i="1"/>
  <c r="G463" i="1"/>
  <c r="F463" i="1"/>
  <c r="G462" i="1"/>
  <c r="F462" i="1"/>
  <c r="G461" i="1"/>
  <c r="F461" i="1"/>
  <c r="G460" i="1"/>
  <c r="F460" i="1"/>
  <c r="G459" i="1"/>
  <c r="F459" i="1"/>
  <c r="G458" i="1"/>
  <c r="G457" i="1"/>
  <c r="G456" i="1"/>
  <c r="G455" i="1"/>
  <c r="G454" i="1"/>
  <c r="F454" i="1"/>
  <c r="G453" i="1"/>
  <c r="F453" i="1"/>
  <c r="G452" i="1"/>
  <c r="F452" i="1"/>
  <c r="G451" i="1"/>
  <c r="F451" i="1"/>
  <c r="G450" i="1"/>
  <c r="F450" i="1"/>
  <c r="G449" i="1"/>
  <c r="F449" i="1"/>
  <c r="G448" i="1"/>
  <c r="F448" i="1"/>
  <c r="G447" i="1"/>
  <c r="F447" i="1"/>
  <c r="G446" i="1"/>
  <c r="F446" i="1"/>
  <c r="F445" i="1"/>
  <c r="G444" i="1"/>
  <c r="F444" i="1"/>
  <c r="G443" i="1"/>
  <c r="F443" i="1"/>
  <c r="G442" i="1"/>
  <c r="F442" i="1"/>
  <c r="G441" i="1"/>
  <c r="F441" i="1"/>
  <c r="G440" i="1"/>
  <c r="G439" i="1"/>
  <c r="F439" i="1"/>
  <c r="G438" i="1"/>
  <c r="F438" i="1"/>
  <c r="G437" i="1"/>
  <c r="F437" i="1"/>
  <c r="G436" i="1"/>
  <c r="F436" i="1"/>
  <c r="G435" i="1"/>
  <c r="C435" i="1"/>
  <c r="C434" i="1" s="1"/>
  <c r="G434" i="1"/>
  <c r="G433" i="1"/>
  <c r="G432" i="1"/>
  <c r="F432" i="1"/>
  <c r="G431" i="1"/>
  <c r="F431" i="1"/>
  <c r="G430" i="1"/>
  <c r="F430" i="1"/>
  <c r="G429" i="1"/>
  <c r="G428" i="1"/>
  <c r="G427" i="1"/>
  <c r="F427" i="1"/>
  <c r="G426" i="1"/>
  <c r="F426" i="1"/>
  <c r="G425" i="1"/>
  <c r="F425" i="1"/>
  <c r="G424" i="1"/>
  <c r="F424" i="1"/>
  <c r="G423" i="1"/>
  <c r="F423" i="1"/>
  <c r="G422" i="1"/>
  <c r="F422" i="1"/>
  <c r="G421" i="1"/>
  <c r="G420" i="1"/>
  <c r="G419" i="1"/>
  <c r="F419" i="1"/>
  <c r="G418" i="1"/>
  <c r="F418" i="1"/>
  <c r="G414" i="1"/>
  <c r="F414" i="1"/>
  <c r="G413" i="1"/>
  <c r="F413" i="1"/>
  <c r="G412" i="1"/>
  <c r="F411" i="1"/>
  <c r="G411" i="1"/>
  <c r="G410" i="1"/>
  <c r="F410" i="1"/>
  <c r="G409" i="1"/>
  <c r="F409" i="1"/>
  <c r="G408" i="1"/>
  <c r="F408" i="1"/>
  <c r="G407" i="1"/>
  <c r="F407" i="1"/>
  <c r="G406" i="1"/>
  <c r="F406" i="1"/>
  <c r="G405" i="1"/>
  <c r="F405" i="1"/>
  <c r="G404" i="1"/>
  <c r="F404" i="1"/>
  <c r="G403" i="1"/>
  <c r="F403" i="1"/>
  <c r="G401" i="1"/>
  <c r="F401" i="1"/>
  <c r="G400" i="1"/>
  <c r="F400" i="1"/>
  <c r="G399" i="1"/>
  <c r="F399" i="1"/>
  <c r="G398" i="1"/>
  <c r="F398" i="1"/>
  <c r="G397" i="1"/>
  <c r="F397" i="1"/>
  <c r="G396" i="1"/>
  <c r="F396" i="1"/>
  <c r="G395" i="1"/>
  <c r="F395" i="1"/>
  <c r="G394" i="1"/>
  <c r="F394" i="1"/>
  <c r="G393" i="1"/>
  <c r="F393" i="1"/>
  <c r="G392" i="1"/>
  <c r="F392" i="1"/>
  <c r="G391" i="1"/>
  <c r="F391" i="1"/>
  <c r="G390" i="1"/>
  <c r="F390" i="1"/>
  <c r="G389" i="1"/>
  <c r="F389" i="1"/>
  <c r="G388" i="1"/>
  <c r="F388" i="1"/>
  <c r="G387" i="1"/>
  <c r="F387" i="1"/>
  <c r="G386" i="1"/>
  <c r="F386" i="1"/>
  <c r="G385" i="1"/>
  <c r="F385" i="1"/>
  <c r="G384" i="1"/>
  <c r="F384" i="1"/>
  <c r="G379" i="1"/>
  <c r="F379" i="1"/>
  <c r="G378" i="1"/>
  <c r="F378" i="1"/>
  <c r="G377" i="1"/>
  <c r="F377" i="1"/>
  <c r="G376" i="1"/>
  <c r="F376" i="1"/>
  <c r="G375" i="1"/>
  <c r="F375" i="1"/>
  <c r="G374" i="1"/>
  <c r="F374" i="1"/>
  <c r="G373" i="1"/>
  <c r="F373" i="1"/>
  <c r="G372" i="1"/>
  <c r="G371" i="1"/>
  <c r="F371" i="1"/>
  <c r="G370" i="1"/>
  <c r="F370" i="1"/>
  <c r="G369" i="1"/>
  <c r="F369" i="1"/>
  <c r="G368" i="1"/>
  <c r="F368" i="1"/>
  <c r="G367" i="1"/>
  <c r="F367" i="1"/>
  <c r="G366" i="1"/>
  <c r="F366" i="1"/>
  <c r="G365" i="1"/>
  <c r="F365" i="1"/>
  <c r="G364" i="1"/>
  <c r="F364" i="1"/>
  <c r="G363" i="1"/>
  <c r="G362" i="1"/>
  <c r="F362" i="1"/>
  <c r="G361" i="1"/>
  <c r="F361" i="1"/>
  <c r="G360" i="1"/>
  <c r="F360" i="1"/>
  <c r="G359" i="1"/>
  <c r="F359" i="1"/>
  <c r="G358" i="1"/>
  <c r="G357" i="1"/>
  <c r="F357" i="1"/>
  <c r="G356" i="1"/>
  <c r="F356" i="1"/>
  <c r="G355" i="1"/>
  <c r="F355" i="1"/>
  <c r="G353" i="1"/>
  <c r="G352" i="1"/>
  <c r="G351" i="1"/>
  <c r="G350" i="1"/>
  <c r="G349" i="1"/>
  <c r="F349" i="1"/>
  <c r="G348" i="1"/>
  <c r="F348" i="1"/>
  <c r="G347" i="1"/>
  <c r="F347" i="1"/>
  <c r="G346" i="1"/>
  <c r="F346" i="1"/>
  <c r="G345" i="1"/>
  <c r="F345" i="1"/>
  <c r="G344" i="1"/>
  <c r="G343" i="1"/>
  <c r="F343" i="1"/>
  <c r="G342" i="1"/>
  <c r="F342" i="1"/>
  <c r="C341" i="1"/>
  <c r="C340" i="1" s="1"/>
  <c r="F340" i="1" s="1"/>
  <c r="B341" i="1"/>
  <c r="G340" i="1"/>
  <c r="G339" i="1"/>
  <c r="F339" i="1"/>
  <c r="G338" i="1"/>
  <c r="F338" i="1"/>
  <c r="G337" i="1"/>
  <c r="F337" i="1"/>
  <c r="G336" i="1"/>
  <c r="F336" i="1"/>
  <c r="G335" i="1"/>
  <c r="F335" i="1"/>
  <c r="G334" i="1"/>
  <c r="G333" i="1"/>
  <c r="F333" i="1"/>
  <c r="G332" i="1"/>
  <c r="F332" i="1"/>
  <c r="G331" i="1"/>
  <c r="F331" i="1"/>
  <c r="G330" i="1"/>
  <c r="G329" i="1"/>
  <c r="F329" i="1"/>
  <c r="G328" i="1"/>
  <c r="F328" i="1"/>
  <c r="G327" i="1"/>
  <c r="G326" i="1"/>
  <c r="F326" i="1"/>
  <c r="G325" i="1"/>
  <c r="G324" i="1"/>
  <c r="G323" i="1"/>
  <c r="F323" i="1"/>
  <c r="G322" i="1"/>
  <c r="F322" i="1"/>
  <c r="B321" i="1"/>
  <c r="G321" i="1" s="1"/>
  <c r="G319" i="1"/>
  <c r="G318" i="1"/>
  <c r="F318" i="1"/>
  <c r="G317" i="1"/>
  <c r="F317" i="1"/>
  <c r="G316" i="1"/>
  <c r="F316" i="1"/>
  <c r="G315" i="1"/>
  <c r="F315" i="1"/>
  <c r="G314" i="1"/>
  <c r="F314" i="1"/>
  <c r="G313" i="1"/>
  <c r="F313" i="1"/>
  <c r="G312" i="1"/>
  <c r="F312" i="1"/>
  <c r="G311" i="1"/>
  <c r="F311" i="1"/>
  <c r="G310" i="1"/>
  <c r="F310" i="1"/>
  <c r="G309" i="1"/>
  <c r="G308" i="1"/>
  <c r="F308" i="1"/>
  <c r="G307" i="1"/>
  <c r="G306" i="1"/>
  <c r="G305" i="1"/>
  <c r="G304" i="1"/>
  <c r="F304" i="1"/>
  <c r="G303" i="1"/>
  <c r="G302" i="1"/>
  <c r="G301" i="1"/>
  <c r="G300" i="1"/>
  <c r="G299" i="1"/>
  <c r="F299" i="1"/>
  <c r="G298" i="1"/>
  <c r="F298" i="1"/>
  <c r="G297" i="1"/>
  <c r="F297" i="1"/>
  <c r="G296" i="1"/>
  <c r="G295" i="1"/>
  <c r="F295" i="1"/>
  <c r="G294" i="1"/>
  <c r="F294" i="1"/>
  <c r="G293" i="1"/>
  <c r="F293" i="1"/>
  <c r="G292" i="1"/>
  <c r="F292" i="1"/>
  <c r="G291" i="1"/>
  <c r="F291" i="1"/>
  <c r="G290" i="1"/>
  <c r="G289" i="1"/>
  <c r="F289" i="1"/>
  <c r="G288" i="1"/>
  <c r="F288" i="1"/>
  <c r="G287" i="1"/>
  <c r="F287" i="1"/>
  <c r="G286" i="1"/>
  <c r="F286" i="1"/>
  <c r="G285" i="1"/>
  <c r="F285" i="1"/>
  <c r="G284" i="1"/>
  <c r="F284" i="1"/>
  <c r="E283" i="1"/>
  <c r="D283" i="1"/>
  <c r="B283" i="1"/>
  <c r="G282" i="1"/>
  <c r="F282" i="1"/>
  <c r="G281" i="1"/>
  <c r="F281" i="1"/>
  <c r="F280" i="1"/>
  <c r="G279" i="1"/>
  <c r="G278" i="1"/>
  <c r="G275" i="1"/>
  <c r="F275" i="1"/>
  <c r="G274" i="1"/>
  <c r="F274" i="1"/>
  <c r="G267" i="1"/>
  <c r="G266" i="1"/>
  <c r="F266" i="1"/>
  <c r="G265" i="1"/>
  <c r="F265" i="1"/>
  <c r="B264" i="1"/>
  <c r="B237" i="1" s="1"/>
  <c r="G263" i="1"/>
  <c r="F263" i="1"/>
  <c r="G262" i="1"/>
  <c r="F262" i="1"/>
  <c r="G261" i="1"/>
  <c r="F261" i="1"/>
  <c r="G260" i="1"/>
  <c r="F260" i="1"/>
  <c r="G259" i="1"/>
  <c r="F259" i="1"/>
  <c r="G258" i="1"/>
  <c r="F258" i="1"/>
  <c r="G257" i="1"/>
  <c r="F257" i="1"/>
  <c r="G256" i="1"/>
  <c r="F256" i="1"/>
  <c r="G255" i="1"/>
  <c r="F255" i="1"/>
  <c r="G252" i="1"/>
  <c r="F252" i="1"/>
  <c r="G251" i="1"/>
  <c r="F251" i="1"/>
  <c r="G250" i="1"/>
  <c r="F250" i="1"/>
  <c r="G236" i="1"/>
  <c r="G235" i="1"/>
  <c r="F235" i="1"/>
  <c r="G234" i="1"/>
  <c r="F234" i="1"/>
  <c r="G233" i="1"/>
  <c r="F233" i="1"/>
  <c r="G232" i="1"/>
  <c r="F232" i="1"/>
  <c r="G231" i="1"/>
  <c r="F231" i="1"/>
  <c r="G230" i="1"/>
  <c r="G229" i="1"/>
  <c r="G228" i="1"/>
  <c r="F228" i="1"/>
  <c r="G227" i="1"/>
  <c r="F227" i="1"/>
  <c r="G225" i="1"/>
  <c r="G224" i="1"/>
  <c r="G223" i="1"/>
  <c r="G222" i="1"/>
  <c r="G221" i="1"/>
  <c r="G220" i="1"/>
  <c r="G219" i="1"/>
  <c r="G218" i="1"/>
  <c r="G217" i="1"/>
  <c r="G216" i="1"/>
  <c r="B214" i="1"/>
  <c r="G213" i="1"/>
  <c r="G212" i="1"/>
  <c r="G211" i="1"/>
  <c r="F211" i="1"/>
  <c r="G210" i="1"/>
  <c r="F210" i="1"/>
  <c r="G209" i="1"/>
  <c r="F209" i="1"/>
  <c r="G208" i="1"/>
  <c r="F208" i="1"/>
  <c r="G207" i="1"/>
  <c r="F207" i="1"/>
  <c r="G206" i="1"/>
  <c r="F206" i="1"/>
  <c r="G205" i="1"/>
  <c r="F205" i="1"/>
  <c r="G204" i="1"/>
  <c r="G203" i="1"/>
  <c r="G202" i="1"/>
  <c r="F202" i="1"/>
  <c r="G201" i="1"/>
  <c r="F201" i="1"/>
  <c r="C200" i="1"/>
  <c r="C199" i="1" s="1"/>
  <c r="G198" i="1"/>
  <c r="G197" i="1"/>
  <c r="G196" i="1"/>
  <c r="F196" i="1"/>
  <c r="G195" i="1"/>
  <c r="G194" i="1"/>
  <c r="F194" i="1"/>
  <c r="G193" i="1"/>
  <c r="G192" i="1"/>
  <c r="G191" i="1"/>
  <c r="G190" i="1"/>
  <c r="G189" i="1"/>
  <c r="G188" i="1"/>
  <c r="G187" i="1"/>
  <c r="G185" i="1"/>
  <c r="G184" i="1"/>
  <c r="G183" i="1"/>
  <c r="F183" i="1"/>
  <c r="G182" i="1"/>
  <c r="F182" i="1"/>
  <c r="G181" i="1"/>
  <c r="F181" i="1"/>
  <c r="G180" i="1"/>
  <c r="F180" i="1"/>
  <c r="G179" i="1"/>
  <c r="F179" i="1"/>
  <c r="G178" i="1"/>
  <c r="G177" i="1"/>
  <c r="G176" i="1"/>
  <c r="F176" i="1"/>
  <c r="G175" i="1"/>
  <c r="F175" i="1"/>
  <c r="G174" i="1"/>
  <c r="F174" i="1"/>
  <c r="G173" i="1"/>
  <c r="G172" i="1"/>
  <c r="F172" i="1"/>
  <c r="G171" i="1"/>
  <c r="F171" i="1"/>
  <c r="G170" i="1"/>
  <c r="F170" i="1"/>
  <c r="G169" i="1"/>
  <c r="F169" i="1"/>
  <c r="G168" i="1"/>
  <c r="F168" i="1"/>
  <c r="G167" i="1"/>
  <c r="F167" i="1"/>
  <c r="G166" i="1"/>
  <c r="G165" i="1"/>
  <c r="G164" i="1"/>
  <c r="F164" i="1"/>
  <c r="G163" i="1"/>
  <c r="F163" i="1"/>
  <c r="G162" i="1"/>
  <c r="F162" i="1"/>
  <c r="G149" i="1"/>
  <c r="G148" i="1"/>
  <c r="F148" i="1"/>
  <c r="G147" i="1"/>
  <c r="F147" i="1"/>
  <c r="G146" i="1"/>
  <c r="F146" i="1"/>
  <c r="G145" i="1"/>
  <c r="F145" i="1"/>
  <c r="G144" i="1"/>
  <c r="F144" i="1"/>
  <c r="G143" i="1"/>
  <c r="G142" i="1"/>
  <c r="G141" i="1"/>
  <c r="F141" i="1"/>
  <c r="G140" i="1"/>
  <c r="F140" i="1"/>
  <c r="F139" i="1"/>
  <c r="G137" i="1"/>
  <c r="G136" i="1"/>
  <c r="G135" i="1"/>
  <c r="G134" i="1"/>
  <c r="G133" i="1"/>
  <c r="G132" i="1"/>
  <c r="F132" i="1"/>
  <c r="G131" i="1"/>
  <c r="G130" i="1"/>
  <c r="G129" i="1"/>
  <c r="G128" i="1"/>
  <c r="G127" i="1"/>
  <c r="G126" i="1"/>
  <c r="B125" i="1"/>
  <c r="G125" i="1" s="1"/>
  <c r="G124" i="1"/>
  <c r="G123" i="1"/>
  <c r="F123" i="1"/>
  <c r="G122" i="1"/>
  <c r="F122" i="1"/>
  <c r="G121" i="1"/>
  <c r="F121" i="1"/>
  <c r="G120" i="1"/>
  <c r="F120" i="1"/>
  <c r="G119" i="1"/>
  <c r="F119" i="1"/>
  <c r="G118" i="1"/>
  <c r="F118" i="1"/>
  <c r="G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G107" i="1"/>
  <c r="G106" i="1"/>
  <c r="F106" i="1"/>
  <c r="G105" i="1"/>
  <c r="F105" i="1"/>
  <c r="G104" i="1"/>
  <c r="F104" i="1"/>
  <c r="G103" i="1"/>
  <c r="G102" i="1"/>
  <c r="F102" i="1"/>
  <c r="G101" i="1"/>
  <c r="F101" i="1"/>
  <c r="G100" i="1"/>
  <c r="F100" i="1"/>
  <c r="G99" i="1"/>
  <c r="F99" i="1"/>
  <c r="G98" i="1"/>
  <c r="F98" i="1"/>
  <c r="G97" i="1"/>
  <c r="G96" i="1"/>
  <c r="G95" i="1"/>
  <c r="F95" i="1"/>
  <c r="G94" i="1"/>
  <c r="F94" i="1"/>
  <c r="G93" i="1"/>
  <c r="F93" i="1"/>
  <c r="E92" i="1"/>
  <c r="D92" i="1"/>
  <c r="G90" i="1"/>
  <c r="G89" i="1"/>
  <c r="F89" i="1"/>
  <c r="G88" i="1"/>
  <c r="F88" i="1"/>
  <c r="G87" i="1"/>
  <c r="F87" i="1"/>
  <c r="G86" i="1"/>
  <c r="F86" i="1"/>
  <c r="G85" i="1"/>
  <c r="F85" i="1"/>
  <c r="G84" i="1"/>
  <c r="G83" i="1"/>
  <c r="F83" i="1"/>
  <c r="G82" i="1"/>
  <c r="F82" i="1"/>
  <c r="G81" i="1"/>
  <c r="F81" i="1"/>
  <c r="G80" i="1"/>
  <c r="G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G69" i="1"/>
  <c r="F69" i="1"/>
  <c r="G68" i="1"/>
  <c r="F68" i="1"/>
  <c r="G67" i="1"/>
  <c r="F67" i="1"/>
  <c r="G66" i="1"/>
  <c r="G65" i="1"/>
  <c r="F65" i="1"/>
  <c r="G64" i="1"/>
  <c r="F64" i="1"/>
  <c r="G63" i="1"/>
  <c r="F63" i="1"/>
  <c r="G62" i="1"/>
  <c r="F62" i="1"/>
  <c r="G61" i="1"/>
  <c r="G60" i="1"/>
  <c r="F60" i="1"/>
  <c r="G59" i="1"/>
  <c r="F59" i="1"/>
  <c r="G58" i="1"/>
  <c r="G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G37" i="1"/>
  <c r="G36" i="1"/>
  <c r="F36" i="1"/>
  <c r="G35" i="1"/>
  <c r="F35" i="1"/>
  <c r="G34" i="1"/>
  <c r="F34" i="1"/>
  <c r="G33" i="1"/>
  <c r="F33" i="1"/>
  <c r="G32" i="1"/>
  <c r="G31" i="1"/>
  <c r="F31" i="1"/>
  <c r="G30" i="1"/>
  <c r="F30" i="1"/>
  <c r="G29" i="1"/>
  <c r="F29" i="1"/>
  <c r="G28" i="1"/>
  <c r="G27" i="1"/>
  <c r="F27" i="1"/>
  <c r="G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E7" i="1"/>
  <c r="D7" i="1"/>
  <c r="B8" i="1"/>
  <c r="B7" i="1" s="1"/>
  <c r="G525" i="5" l="1"/>
  <c r="C455" i="5"/>
  <c r="C436" i="5" s="1"/>
  <c r="F436" i="5" s="1"/>
  <c r="F516" i="5"/>
  <c r="C323" i="5"/>
  <c r="C322" i="5" s="1"/>
  <c r="C186" i="5"/>
  <c r="F186" i="5" s="1"/>
  <c r="F187" i="5"/>
  <c r="G322" i="5"/>
  <c r="B91" i="5"/>
  <c r="B6" i="5" s="1"/>
  <c r="E91" i="5"/>
  <c r="E6" i="5" s="1"/>
  <c r="D6" i="5"/>
  <c r="G91" i="5"/>
  <c r="C125" i="5"/>
  <c r="F126" i="5"/>
  <c r="G603" i="5"/>
  <c r="F603" i="5"/>
  <c r="G575" i="5"/>
  <c r="F625" i="5"/>
  <c r="G604" i="5"/>
  <c r="C215" i="5"/>
  <c r="F305" i="5"/>
  <c r="F343" i="5"/>
  <c r="C505" i="5"/>
  <c r="F505" i="5" s="1"/>
  <c r="G611" i="5"/>
  <c r="C199" i="5"/>
  <c r="F7" i="5"/>
  <c r="G7" i="5"/>
  <c r="C300" i="4"/>
  <c r="F300" i="4" s="1"/>
  <c r="F301" i="4"/>
  <c r="C91" i="4"/>
  <c r="F91" i="4" s="1"/>
  <c r="G605" i="4"/>
  <c r="G609" i="4"/>
  <c r="G613" i="4"/>
  <c r="G619" i="4"/>
  <c r="F619" i="4"/>
  <c r="G573" i="4"/>
  <c r="G523" i="4"/>
  <c r="G598" i="4"/>
  <c r="E6" i="4"/>
  <c r="B6" i="4"/>
  <c r="D6" i="4"/>
  <c r="F434" i="4"/>
  <c r="F573" i="4"/>
  <c r="G491" i="4"/>
  <c r="F523" i="4"/>
  <c r="G434" i="4"/>
  <c r="F491" i="4"/>
  <c r="G91" i="4"/>
  <c r="G7" i="4"/>
  <c r="F7" i="4"/>
  <c r="C504" i="1"/>
  <c r="G569" i="1"/>
  <c r="B568" i="1"/>
  <c r="F354" i="1"/>
  <c r="G272" i="1"/>
  <c r="G445" i="1"/>
  <c r="F272" i="1"/>
  <c r="B276" i="1"/>
  <c r="E276" i="1"/>
  <c r="F383" i="1"/>
  <c r="G558" i="1"/>
  <c r="G277" i="1"/>
  <c r="F563" i="1"/>
  <c r="C558" i="1"/>
  <c r="C554" i="1" s="1"/>
  <c r="F554" i="1" s="1"/>
  <c r="F564" i="1"/>
  <c r="G280" i="1"/>
  <c r="G354" i="1"/>
  <c r="D276" i="1"/>
  <c r="G417" i="1"/>
  <c r="B415" i="1"/>
  <c r="E415" i="1"/>
  <c r="F273" i="1"/>
  <c r="B472" i="1"/>
  <c r="G341" i="1"/>
  <c r="E472" i="1"/>
  <c r="F226" i="1"/>
  <c r="G494" i="1"/>
  <c r="F416" i="1"/>
  <c r="G416" i="1"/>
  <c r="G473" i="1"/>
  <c r="D472" i="1"/>
  <c r="G484" i="1"/>
  <c r="F417" i="1"/>
  <c r="F484" i="1"/>
  <c r="D415" i="1"/>
  <c r="G415" i="1" s="1"/>
  <c r="F494" i="1"/>
  <c r="G273" i="1"/>
  <c r="C277" i="1"/>
  <c r="G402" i="1"/>
  <c r="E214" i="1"/>
  <c r="G200" i="1"/>
  <c r="D214" i="1"/>
  <c r="D91" i="1" s="1"/>
  <c r="G579" i="1"/>
  <c r="F58" i="1"/>
  <c r="G495" i="1"/>
  <c r="G485" i="1"/>
  <c r="F435" i="1"/>
  <c r="F199" i="1"/>
  <c r="B138" i="1"/>
  <c r="G138" i="1" s="1"/>
  <c r="G264" i="1"/>
  <c r="C215" i="1"/>
  <c r="F215" i="1" s="1"/>
  <c r="C186" i="1"/>
  <c r="F434" i="1"/>
  <c r="C415" i="1"/>
  <c r="B92" i="1"/>
  <c r="C125" i="1"/>
  <c r="F125" i="1" s="1"/>
  <c r="G589" i="1"/>
  <c r="F495" i="1"/>
  <c r="F220" i="1"/>
  <c r="F504" i="1"/>
  <c r="F302" i="3"/>
  <c r="C301" i="3"/>
  <c r="D6" i="3"/>
  <c r="G7" i="3"/>
  <c r="F7" i="3"/>
  <c r="C380" i="3"/>
  <c r="F380" i="3" s="1"/>
  <c r="F389" i="3"/>
  <c r="F281" i="3"/>
  <c r="C264" i="3"/>
  <c r="F264" i="3" s="1"/>
  <c r="F451" i="3"/>
  <c r="C450" i="3"/>
  <c r="F236" i="3"/>
  <c r="F185" i="3"/>
  <c r="C138" i="3"/>
  <c r="F138" i="3" s="1"/>
  <c r="G8" i="3"/>
  <c r="F186" i="3"/>
  <c r="F283" i="3"/>
  <c r="F390" i="3"/>
  <c r="F557" i="3"/>
  <c r="B92" i="3"/>
  <c r="C214" i="3"/>
  <c r="F303" i="3"/>
  <c r="F481" i="3"/>
  <c r="C198" i="3"/>
  <c r="F198" i="3" s="1"/>
  <c r="C321" i="3"/>
  <c r="F321" i="3" s="1"/>
  <c r="F452" i="3"/>
  <c r="F462" i="3"/>
  <c r="F472" i="3"/>
  <c r="C125" i="3"/>
  <c r="F301" i="3"/>
  <c r="F450" i="3"/>
  <c r="F485" i="1"/>
  <c r="G568" i="1"/>
  <c r="F341" i="1"/>
  <c r="G554" i="1"/>
  <c r="G583" i="1"/>
  <c r="F474" i="1"/>
  <c r="B320" i="1"/>
  <c r="G320" i="1" s="1"/>
  <c r="C300" i="1"/>
  <c r="F300" i="1" s="1"/>
  <c r="G474" i="1"/>
  <c r="G504" i="1"/>
  <c r="G283" i="1"/>
  <c r="C321" i="1"/>
  <c r="G575" i="1"/>
  <c r="G186" i="1"/>
  <c r="G237" i="1"/>
  <c r="F402" i="1"/>
  <c r="C472" i="1"/>
  <c r="F473" i="1"/>
  <c r="F7" i="1"/>
  <c r="G7" i="1"/>
  <c r="F412" i="1"/>
  <c r="F8" i="1"/>
  <c r="F200" i="1"/>
  <c r="F589" i="1"/>
  <c r="G8" i="1"/>
  <c r="F301" i="1"/>
  <c r="F125" i="5" l="1"/>
  <c r="C92" i="5"/>
  <c r="F92" i="5" s="1"/>
  <c r="F322" i="5"/>
  <c r="F455" i="5"/>
  <c r="F323" i="5"/>
  <c r="C138" i="5"/>
  <c r="F138" i="5" s="1"/>
  <c r="G6" i="5"/>
  <c r="F199" i="5"/>
  <c r="F215" i="5"/>
  <c r="F214" i="5"/>
  <c r="C6" i="4"/>
  <c r="G6" i="4"/>
  <c r="F558" i="1"/>
  <c r="E91" i="1"/>
  <c r="E6" i="1" s="1"/>
  <c r="G276" i="1"/>
  <c r="F277" i="1"/>
  <c r="C276" i="1"/>
  <c r="F276" i="1" s="1"/>
  <c r="G472" i="1"/>
  <c r="G214" i="1"/>
  <c r="F472" i="1"/>
  <c r="G92" i="1"/>
  <c r="B91" i="1"/>
  <c r="B6" i="1" s="1"/>
  <c r="F415" i="1"/>
  <c r="C214" i="1"/>
  <c r="F214" i="1" s="1"/>
  <c r="C283" i="1"/>
  <c r="F283" i="1" s="1"/>
  <c r="C92" i="1"/>
  <c r="F92" i="1" s="1"/>
  <c r="F237" i="1"/>
  <c r="F125" i="3"/>
  <c r="C92" i="3"/>
  <c r="C213" i="3"/>
  <c r="F213" i="3" s="1"/>
  <c r="F214" i="3"/>
  <c r="B91" i="3"/>
  <c r="G92" i="3"/>
  <c r="F321" i="1"/>
  <c r="C320" i="1"/>
  <c r="F320" i="1" s="1"/>
  <c r="D6" i="1"/>
  <c r="F264" i="1"/>
  <c r="C138" i="1"/>
  <c r="F138" i="1" s="1"/>
  <c r="F186" i="1"/>
  <c r="C91" i="5" l="1"/>
  <c r="F6" i="4"/>
  <c r="C91" i="1"/>
  <c r="C6" i="1" s="1"/>
  <c r="G6" i="1"/>
  <c r="G91" i="1"/>
  <c r="G91" i="3"/>
  <c r="B6" i="3"/>
  <c r="G6" i="3" s="1"/>
  <c r="C91" i="3"/>
  <c r="F92" i="3"/>
  <c r="F91" i="5" l="1"/>
  <c r="F6" i="1"/>
  <c r="F91" i="1"/>
  <c r="F91" i="3"/>
  <c r="C6" i="3"/>
  <c r="F6" i="3" s="1"/>
  <c r="C494" i="5" l="1"/>
  <c r="F496" i="5"/>
  <c r="C493" i="5" l="1"/>
  <c r="F494" i="5"/>
  <c r="F495" i="5"/>
  <c r="C6" i="5" l="1"/>
  <c r="F493" i="5"/>
  <c r="F6" i="5" l="1"/>
  <c r="C216" i="6"/>
  <c r="C215" i="6" s="1"/>
  <c r="F236" i="6"/>
  <c r="C225" i="6"/>
  <c r="F225" i="6"/>
  <c r="C92" i="6" l="1"/>
  <c r="F215" i="6"/>
  <c r="F216" i="6"/>
  <c r="F92" i="6" l="1"/>
  <c r="C6" i="6"/>
  <c r="F6" i="6" s="1"/>
  <c r="F266" i="6"/>
</calcChain>
</file>

<file path=xl/sharedStrings.xml><?xml version="1.0" encoding="utf-8"?>
<sst xmlns="http://schemas.openxmlformats.org/spreadsheetml/2006/main" count="3144" uniqueCount="142">
  <si>
    <t>Фонд</t>
  </si>
  <si>
    <t xml:space="preserve">План за вказаний період з урахуванням змін
</t>
  </si>
  <si>
    <t xml:space="preserve">Касові видатки за вказаний період
</t>
  </si>
  <si>
    <t xml:space="preserve">% виконання на вказаний період
</t>
  </si>
  <si>
    <t xml:space="preserve">% виконання на рік
</t>
  </si>
  <si>
    <t>КЕКВ</t>
  </si>
  <si>
    <t>1 1. Загальний фонд</t>
  </si>
  <si>
    <t>0100      Державне управління</t>
  </si>
  <si>
    <t>Управління (Центр) надання адміністративних послуг Дніпровської районної в місті Києві державної адміністрації</t>
  </si>
  <si>
    <t>2111 Заробітна плата</t>
  </si>
  <si>
    <t>2120 Нарахування на оплату праці</t>
  </si>
  <si>
    <t>2210 Предмети, матеріали, обладнання та інвентар</t>
  </si>
  <si>
    <t>2240 Оплата послуг (крім комунальних)</t>
  </si>
  <si>
    <t>2271 Оплата теплопостачання</t>
  </si>
  <si>
    <t>2272 Оплата водопостачання та водовідведення</t>
  </si>
  <si>
    <t>2273 Оплата електроенергії</t>
  </si>
  <si>
    <t>2282 Окремі заходи по реалізації державних (регіональних) програм, не віднесені до заходів розвитку</t>
  </si>
  <si>
    <t>Дніпровсь районна в місті Києві Державна адмінісирація</t>
  </si>
  <si>
    <t>2800 Інші поточні видатки</t>
  </si>
  <si>
    <t>Фінансове управління Дніпровської районної в місті Києві державної адміністрації</t>
  </si>
  <si>
    <t>Управління  соціального захисту населення Дніпровської районної в місті  Києві державної адміністрації</t>
  </si>
  <si>
    <t>2250 Видатки на відрядження</t>
  </si>
  <si>
    <t>Відділ молоді  та спорту Дніпровської районної в місті  Києві державної адміністрації</t>
  </si>
  <si>
    <t>Управління освіті Дніпрвської районної в місті Києві державної адміністрації</t>
  </si>
  <si>
    <t>Служба у справах дітей Дніпровської районної в місті  Києві державної адміністрації</t>
  </si>
  <si>
    <t>Відділ культури  Дніпровської районної в місті Києві державної адміністрації</t>
  </si>
  <si>
    <t>2275 Оплата інших енергоносіїв та інших комунальних послуг</t>
  </si>
  <si>
    <t>1000      Освіта</t>
  </si>
  <si>
    <t>Ліцей № 141 "Освітні ресурси та технологічний тренінг" Дніпровського району м.Києва</t>
  </si>
  <si>
    <t>2220 Медикаменти та перев'язувальні матеріали</t>
  </si>
  <si>
    <t>Ліцей «Домінанта» Дніпровського району м. Києва</t>
  </si>
  <si>
    <t>Дошкільний навчальний заклад  №628</t>
  </si>
  <si>
    <t>2274 Оплата природного газу</t>
  </si>
  <si>
    <t>Ліцей № 42 Дніпровського району м.Києва</t>
  </si>
  <si>
    <t>2230 Продукти харчування</t>
  </si>
  <si>
    <t>Ліцей № 272 "Український колеж ім. В.О.Сухомлинського" Дніпровського району м.Києва</t>
  </si>
  <si>
    <t>Мистецький ліцей "Зміна" Дніпровського району м.Києва</t>
  </si>
  <si>
    <t>2610 Субсидії та поточні трансферти підприємствам (установам, організаціям)</t>
  </si>
  <si>
    <t>Станція юних техніків-центру науково-технічної творчості молоді</t>
  </si>
  <si>
    <t>Дитяча школа мистецтв № 6 ім. Г.П. Жуковського  Дніпровського району міста Києва</t>
  </si>
  <si>
    <t>2730 Інші виплати населенню</t>
  </si>
  <si>
    <t>Інклюзивно-ресурсний центр №13 Дніпровського району м.Києва</t>
  </si>
  <si>
    <t>Інклюзивно-ресурсний центр №4 Дніпровського району м.Києва</t>
  </si>
  <si>
    <t>3000      Соціальний захист та соціальне забезпечення</t>
  </si>
  <si>
    <t>Центр комплексної реабілітації для осіб з інвалідністю Дніпровського району міста Києва</t>
  </si>
  <si>
    <t>Дніпровський районний в місті Київі центр соціальних служб</t>
  </si>
  <si>
    <t>Центр по роботі з дітьми та молоддю за місцем проживання Дніпровського району м. Києва</t>
  </si>
  <si>
    <t>Центр соціальної підтримки дітей та сімей Дніпровського району міста Києва</t>
  </si>
  <si>
    <t>4000      Культура i мистецтво</t>
  </si>
  <si>
    <t>5000      Фiзична культура i спорт</t>
  </si>
  <si>
    <t>Дитячо-юнацька спортивна школа № 21</t>
  </si>
  <si>
    <t>Дитячо-юнацька спортивна школа № 10</t>
  </si>
  <si>
    <t>Дитячо-юнацька спортивна школа № 16</t>
  </si>
  <si>
    <t>6000      Житлово-комунальне господарство</t>
  </si>
  <si>
    <t>Комунальне підприємство "Керуюча компанія з обслуговування житлового фонду Дніпровського району м.Києва"</t>
  </si>
  <si>
    <t>7 7. Інші кошти спеціального фонду</t>
  </si>
  <si>
    <t>3110 Придбання обладнання і предметів довгострокового користування</t>
  </si>
  <si>
    <t>3132 Капітальний ремонт інших об`єктів</t>
  </si>
  <si>
    <t>3122 Капітальне будівництво (придбання) інших об'єктів</t>
  </si>
  <si>
    <t>3210 Капітальні трансферти підприємствам (установам, організаціям)</t>
  </si>
  <si>
    <t>Об'єднання співвласників багатоквартирного будинку "Ентузіастів 27"</t>
  </si>
  <si>
    <t>Об'єднання співвласників багатоквартирного будинку "Аболмасова, 3"</t>
  </si>
  <si>
    <t>КПКВ</t>
  </si>
  <si>
    <t>Розпорядник</t>
  </si>
  <si>
    <t>4310160 Керівництво і управління Дніпровською районною в місті Києві державною адміністрацією</t>
  </si>
  <si>
    <t>4311010 Надання дошкільної освіти</t>
  </si>
  <si>
    <t>4311021 Надання загальної середньої освіти закладами загальної середньої освіти за рахунок коштів місцевого бюджету</t>
  </si>
  <si>
    <t>4311022 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</si>
  <si>
    <t>4311023 Надання загальної середньої освіти спеціалізованими закладами загальної середньої освіти за рахунок коштів місцевого бюджету</t>
  </si>
  <si>
    <t>4311031 Надання загальної середньої освіти закладами загальної середньої освіти за рахунок освітньої субвенції</t>
  </si>
  <si>
    <t>4311032 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освітньої субвенції</t>
  </si>
  <si>
    <t>4311033 Надання загальної середньої освіти спеціалізованими закладами загальної середньої освіти за рахунок освітньої субвенції</t>
  </si>
  <si>
    <t>4311070 Надання позашкільної освіти закладами позашкільної освіти, заходи із позашкільної роботи з дітьми</t>
  </si>
  <si>
    <t>4311080 Надання спеціалізованої освіти мистецькими школами</t>
  </si>
  <si>
    <t>4311141 Забезпечення діяльності інших закладів у сфері освіти</t>
  </si>
  <si>
    <t>4311142 Інші програми та заходи у сфері освіти</t>
  </si>
  <si>
    <t>4311151 Забезпечення діяльності інклюзивно-ресурсних центрів за рахунок коштів місцевого бюджету</t>
  </si>
  <si>
    <t>4311152 Забезпечення діяльності інклюзивно-ресурсних центрів за рахунок освітньої субвенції</t>
  </si>
  <si>
    <t>4311600 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</si>
  <si>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4313105 Надання реабілітаційних послуг особам з інвалідністю та дітям з інвалідністю</t>
  </si>
  <si>
    <t>4313114 Забезпечення умов для догляду та виховання дітей та молоді в дитячих будинках сімейного типу, прийомних сім’ях та сім’ях патронатних вихователів</t>
  </si>
  <si>
    <t>4313121 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t>
  </si>
  <si>
    <t>4313132 Створення умов для творчого, інтелектуального, духовного та фізичного розвитку дітей та молоді за місцем їх проживання</t>
  </si>
  <si>
    <t>4313133 Забезпечення молодіжними центрами соціального становлення та розвитку молоді та інші заходи у сфері молодіжної політики</t>
  </si>
  <si>
    <t>4313241 Надання комплексу послуг особам/сім’ям у сфері соціального захисту та соціального забезпечення іншими надавачами соціальних послуг</t>
  </si>
  <si>
    <t>4313242 Інші заходи у сфері соціального захисту і соціального забезпечення</t>
  </si>
  <si>
    <t>4314030 Забезпечення діяльності бібліотек</t>
  </si>
  <si>
    <t>4314060 Забезпечення діяльності палаців i будинків культури, клубів, центрів дозвілля та iнших клубних закладів</t>
  </si>
  <si>
    <t>4314081 Забезпечення діяльності інших закладів в галузі культури і мистецтва</t>
  </si>
  <si>
    <t>4315031 Розвиток здібностей у дітей та молоді з фізичної культури та спорту комунальними дитячо-юнацькими спортивними школами</t>
  </si>
  <si>
    <t>4315061 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</si>
  <si>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4316011 Експлуатація та технічне обслуговування житлового фонду</t>
  </si>
  <si>
    <t>Управління житлово комунального господарства Дніпровської  в місті Києві державної адміністрації</t>
  </si>
  <si>
    <t>4311702 Забезпечення харчуванням учнів закладів загальної середньої освіти за рахунок субвенції з державного бюджету місцевим бюджетам</t>
  </si>
  <si>
    <t>Товариство з обмеженою відповідальністю "УІІК СЕРВІС"</t>
  </si>
  <si>
    <t xml:space="preserve">Аналіз фінансування установ за період з 01.01.2026 по 31.01.2026 </t>
  </si>
  <si>
    <t xml:space="preserve">Уточнений план на рік 
</t>
  </si>
  <si>
    <t xml:space="preserve">Профінансовано за вказаний період
</t>
  </si>
  <si>
    <t>Дитячо-юнацька спортивна школа 3</t>
  </si>
  <si>
    <t>4311300 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</si>
  <si>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4313250 Підготовка та реалізація публічних інвестиційних проектів / програм публічних інвестицій за рахунок коштів місцевого бюджету в галузі соціального захисту та соціального забезпечення</t>
  </si>
  <si>
    <t>4314083 Підготовка та реалізація публічних інвестиційних проектів / програм публічних інвестицій за рахунок коштів  місцевого  бюджету  в  галузі  культури і мистецтва</t>
  </si>
  <si>
    <t>4315070 Підготовка та реалізація публічних інвестиційних проектів / програм публічних інвестицій за рахунок коштів місцевого бюджету в галузі фізичної культури і спорту</t>
  </si>
  <si>
    <t>4316091 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</si>
  <si>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Об'єднання співвласників багатоквартирного будинку "Буревісник-плюс"</t>
  </si>
  <si>
    <t>Житлово-будівельний кооператив "Домобудівельник"</t>
  </si>
  <si>
    <t xml:space="preserve">Аналіз фінансування установ за період з 01.01.2026 по 28.02.2026 </t>
  </si>
  <si>
    <t>Приватний організація (установа, заклад) "Приватний заклад загальної середньої освіти "Київська гімназія "Гелаксі Скул"</t>
  </si>
  <si>
    <t>Приватний заклад освіти "Ліцей "Сенс Скул"</t>
  </si>
  <si>
    <t>"Приватний заклад загальної середньої освіти "Київський ліцей "Симфонія"</t>
  </si>
  <si>
    <t>Приватний заклад освіти Київська початкова школа "ПЛАНЕТА ДИТИНСТВА"</t>
  </si>
  <si>
    <t>Товариство з обмеженою відповідальністю "Центр освіти "Джемм"</t>
  </si>
  <si>
    <t>Товариство з обмеженою відповідальністю "Академія сучасної освіти"</t>
  </si>
  <si>
    <t>Товариство з обмеженою відповідальністю "Києво-Воскресенський ліцей"</t>
  </si>
  <si>
    <t>Гімназія "Столиця"</t>
  </si>
  <si>
    <t>Товариство з обмеженою відповідальністю "Київський ліцей Нью Тон"</t>
  </si>
  <si>
    <t>4311310 Реалізація проектів (заходів) з відновлення освітніх установ та закладів, пошкоджених / знищених внаслідок збройної агресії, за рахунок коштів місцевих бюджетів</t>
  </si>
  <si>
    <t>4316092 Реалізація проектів (заходів) з відновлення об’єктів житлового фонду, пошкоджених / знищених внаслідок збройної агресії, за рахунок коштів місцевих бюджетів</t>
  </si>
  <si>
    <t>Об'єднання співвласників багатоквартирного будинку "Кассіопея"</t>
  </si>
  <si>
    <t>4316081 Підготовка та реалізація публічних інвестиційних проектів / програм публічних інвестицій в галузі (секторі) «Житло» за рахунок коштів місцевого бюджету</t>
  </si>
  <si>
    <t>Житлово-будівельний кооператив "Дніпро"</t>
  </si>
  <si>
    <t>Об'єднання співвласників багатоквартирного будинку "Садовий-25"</t>
  </si>
  <si>
    <t>4317670 Внески до статутного капіталу суб’єктів господарювання</t>
  </si>
  <si>
    <t>4311200 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</si>
  <si>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4313242 Інші заходи та заклади у сфері соціального захисту і соціального забезпечення</t>
  </si>
  <si>
    <t>4315061 Забезпечення діяльності місцевих центрів фізичного здоров’я населення та проведення фізкультурно- масових заходів серед населення регіону</t>
  </si>
  <si>
    <t>3131 Капітальний ремонт житлового фонду (приміщень)</t>
  </si>
  <si>
    <t>Об'єднання співвласників багатоквартирного будинку "Лазурний Блюз"</t>
  </si>
  <si>
    <t>Житлово-будівельний кооператив "Схід-5"</t>
  </si>
  <si>
    <t>Товариство з обмеженою відповідальністю "Ковальська-Житлосервіс"</t>
  </si>
  <si>
    <t>Товариство з обмеженою відповідальністю "Комфорт -Таун"</t>
  </si>
  <si>
    <t>Об'єднання співвласниікв багатоквартирного будинку "Хоткевича 10"</t>
  </si>
  <si>
    <t xml:space="preserve">Аналіз фінансування установ за період з 01.01.2026 по 31.03.2026 </t>
  </si>
  <si>
    <t xml:space="preserve">Аналіз фінансування установ за період з 01.01.2026 по 30.04.2026 </t>
  </si>
  <si>
    <t>Іноваційний ліцей "Ай-скул"</t>
  </si>
  <si>
    <t>Об'єднання співвласників багатоквартирних будинків "Ентузіастів 9"</t>
  </si>
  <si>
    <t>Товариство з обмеженою відповідальністю "ЖК Сервіс груп"</t>
  </si>
  <si>
    <t>Управління житлово комунального господарства Дніпровської в місті Києві державної адміністрації</t>
  </si>
  <si>
    <t>Управління культури  Дніпровської районної в місті Києві державної адміністрації</t>
  </si>
  <si>
    <t>4311279 Реалізація заходів за рахунок освітньої субвенції з державного бюджету місцевим бюджетам (за спеціальним фондом державного бюджету) з урахуванням залишків на забезпечення харчуванням учнів закладів загальної середньої освіти</t>
  </si>
  <si>
    <t xml:space="preserve">Аналіз фінансування установ за період з 01.01.2026 по 31.05.2026 </t>
  </si>
  <si>
    <t>Управління молоді  та спорту Дніпровської районної в місті  Києві державної адміністрації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</si>
</sst>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sz val="9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rgb="FFFF0000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4" fontId="2" fillId="2" borderId="1" xfId="0" applyNumberFormat="1" applyFont="1" applyFill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2" fillId="2" borderId="1" xfId="0" applyFont="1" applyFill="1" applyBorder="1" applyAlignment="1">
      <alignment horizontal="center" vertical="top" wrapText="1"/>
    </xf>
    <xf numFmtId="4" fontId="0" fillId="0" borderId="0" xfId="0" applyNumberFormat="1"/>
    <xf numFmtId="0" fontId="2" fillId="3" borderId="1" xfId="0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" fillId="4" borderId="1" xfId="0" applyNumberFormat="1" applyFont="1" applyFill="1" applyBorder="1" applyAlignment="1">
      <alignment horizontal="center" vertical="top"/>
    </xf>
    <xf numFmtId="164" fontId="2" fillId="4" borderId="1" xfId="0" applyNumberFormat="1" applyFont="1" applyFill="1" applyBorder="1" applyAlignment="1">
      <alignment horizontal="center" vertical="top"/>
    </xf>
    <xf numFmtId="0" fontId="7" fillId="0" borderId="0" xfId="0" applyFont="1"/>
    <xf numFmtId="0" fontId="2" fillId="3" borderId="1" xfId="0" applyFont="1" applyFill="1" applyBorder="1" applyAlignment="1">
      <alignment vertical="top" wrapText="1"/>
    </xf>
    <xf numFmtId="4" fontId="8" fillId="0" borderId="1" xfId="0" applyNumberFormat="1" applyFont="1" applyBorder="1" applyAlignment="1">
      <alignment horizontal="center" vertical="top"/>
    </xf>
    <xf numFmtId="4" fontId="3" fillId="5" borderId="1" xfId="0" applyNumberFormat="1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2" fontId="3" fillId="5" borderId="1" xfId="0" applyNumberFormat="1" applyFont="1" applyFill="1" applyBorder="1" applyAlignment="1">
      <alignment horizontal="center" vertical="top" wrapText="1"/>
    </xf>
    <xf numFmtId="4" fontId="9" fillId="3" borderId="1" xfId="0" applyNumberFormat="1" applyFont="1" applyFill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4" fontId="4" fillId="5" borderId="1" xfId="0" applyNumberFormat="1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/>
    </xf>
    <xf numFmtId="164" fontId="1" fillId="4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 wrapText="1"/>
    </xf>
    <xf numFmtId="4" fontId="4" fillId="3" borderId="1" xfId="0" applyNumberFormat="1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164" fontId="4" fillId="3" borderId="1" xfId="0" applyNumberFormat="1" applyFont="1" applyFill="1" applyBorder="1" applyAlignment="1">
      <alignment horizontal="center" vertical="top"/>
    </xf>
    <xf numFmtId="4" fontId="11" fillId="0" borderId="1" xfId="0" applyNumberFormat="1" applyFont="1" applyBorder="1" applyAlignment="1">
      <alignment horizontal="center" vertical="top" wrapText="1"/>
    </xf>
    <xf numFmtId="4" fontId="4" fillId="0" borderId="0" xfId="0" applyNumberFormat="1" applyFont="1" applyAlignment="1">
      <alignment horizontal="center"/>
    </xf>
    <xf numFmtId="4" fontId="6" fillId="0" borderId="0" xfId="0" applyNumberFormat="1" applyFont="1"/>
    <xf numFmtId="4" fontId="2" fillId="6" borderId="1" xfId="0" applyNumberFormat="1" applyFont="1" applyFill="1" applyBorder="1" applyAlignment="1">
      <alignment horizontal="center" vertical="top"/>
    </xf>
    <xf numFmtId="164" fontId="2" fillId="6" borderId="1" xfId="0" applyNumberFormat="1" applyFont="1" applyFill="1" applyBorder="1" applyAlignment="1">
      <alignment horizontal="center" vertical="top"/>
    </xf>
    <xf numFmtId="0" fontId="6" fillId="6" borderId="0" xfId="0" applyFont="1" applyFill="1"/>
    <xf numFmtId="0" fontId="3" fillId="0" borderId="2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4" fontId="2" fillId="5" borderId="1" xfId="0" applyNumberFormat="1" applyFont="1" applyFill="1" applyBorder="1" applyAlignment="1">
      <alignment horizontal="center" vertical="top" wrapText="1"/>
    </xf>
    <xf numFmtId="0" fontId="12" fillId="0" borderId="0" xfId="0" applyFont="1"/>
    <xf numFmtId="4" fontId="4" fillId="6" borderId="1" xfId="0" applyNumberFormat="1" applyFont="1" applyFill="1" applyBorder="1" applyAlignment="1">
      <alignment horizontal="center" vertical="top"/>
    </xf>
    <xf numFmtId="164" fontId="4" fillId="6" borderId="1" xfId="0" applyNumberFormat="1" applyFont="1" applyFill="1" applyBorder="1" applyAlignment="1">
      <alignment horizontal="center" vertical="top"/>
    </xf>
    <xf numFmtId="0" fontId="13" fillId="6" borderId="0" xfId="0" applyFont="1" applyFill="1"/>
    <xf numFmtId="4" fontId="3" fillId="3" borderId="1" xfId="0" applyNumberFormat="1" applyFont="1" applyFill="1" applyBorder="1" applyAlignment="1">
      <alignment horizontal="center" vertical="top"/>
    </xf>
    <xf numFmtId="164" fontId="1" fillId="3" borderId="1" xfId="0" applyNumberFormat="1" applyFont="1" applyFill="1" applyBorder="1" applyAlignment="1">
      <alignment horizontal="center" vertical="top"/>
    </xf>
    <xf numFmtId="4" fontId="2" fillId="0" borderId="1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 vertical="top"/>
    </xf>
    <xf numFmtId="4" fontId="2" fillId="3" borderId="1" xfId="0" applyNumberFormat="1" applyFont="1" applyFill="1" applyBorder="1" applyAlignment="1">
      <alignment horizontal="right" vertical="top"/>
    </xf>
    <xf numFmtId="0" fontId="2" fillId="0" borderId="1" xfId="0" applyFont="1" applyBorder="1" applyAlignment="1">
      <alignment horizontal="left" vertical="top" wrapText="1" indent="4"/>
    </xf>
    <xf numFmtId="0" fontId="2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left" vertical="top" wrapText="1" indent="6"/>
    </xf>
    <xf numFmtId="0" fontId="3" fillId="0" borderId="1" xfId="0" applyFont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 wrapText="1" indent="2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4" fontId="2" fillId="7" borderId="1" xfId="0" applyNumberFormat="1" applyFont="1" applyFill="1" applyBorder="1" applyAlignment="1">
      <alignment horizontal="center" vertical="top"/>
    </xf>
    <xf numFmtId="164" fontId="2" fillId="7" borderId="1" xfId="0" applyNumberFormat="1" applyFont="1" applyFill="1" applyBorder="1" applyAlignment="1">
      <alignment horizontal="center" vertical="top"/>
    </xf>
    <xf numFmtId="0" fontId="15" fillId="0" borderId="0" xfId="0" applyFont="1"/>
    <xf numFmtId="0" fontId="16" fillId="0" borderId="0" xfId="0" applyFont="1"/>
    <xf numFmtId="0" fontId="1" fillId="0" borderId="1" xfId="0" applyFont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4" fontId="7" fillId="0" borderId="0" xfId="0" applyNumberFormat="1" applyFont="1"/>
    <xf numFmtId="0" fontId="0" fillId="0" borderId="0" xfId="0" applyAlignment="1">
      <alignment horizontal="center"/>
    </xf>
    <xf numFmtId="4" fontId="5" fillId="0" borderId="1" xfId="0" applyNumberFormat="1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4" fontId="7" fillId="7" borderId="1" xfId="0" applyNumberFormat="1" applyFont="1" applyFill="1" applyBorder="1" applyAlignment="1">
      <alignment horizontal="center" vertical="top"/>
    </xf>
    <xf numFmtId="164" fontId="7" fillId="7" borderId="1" xfId="0" applyNumberFormat="1" applyFont="1" applyFill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/>
    </xf>
    <xf numFmtId="4" fontId="7" fillId="3" borderId="1" xfId="0" applyNumberFormat="1" applyFont="1" applyFill="1" applyBorder="1" applyAlignment="1">
      <alignment horizontal="center" vertical="top"/>
    </xf>
    <xf numFmtId="164" fontId="7" fillId="3" borderId="1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7" fillId="0" borderId="0" xfId="0" applyFont="1"/>
    <xf numFmtId="0" fontId="2" fillId="7" borderId="1" xfId="0" applyFont="1" applyFill="1" applyBorder="1" applyAlignment="1">
      <alignment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91A44-1B28-4698-9CEC-19809EE3380B}">
  <dimension ref="A1:H572"/>
  <sheetViews>
    <sheetView view="pageBreakPreview" zoomScale="98" zoomScaleNormal="100" zoomScaleSheetLayoutView="98" workbookViewId="0">
      <selection activeCell="E14" sqref="E14"/>
    </sheetView>
  </sheetViews>
  <sheetFormatPr defaultRowHeight="15" outlineLevelRow="3" x14ac:dyDescent="0.25"/>
  <cols>
    <col min="1" max="1" width="53.28515625" style="1" customWidth="1"/>
    <col min="2" max="2" width="16.140625" style="2" customWidth="1"/>
    <col min="3" max="3" width="16.28515625" style="2" customWidth="1"/>
    <col min="4" max="4" width="15.7109375" style="2" customWidth="1"/>
    <col min="5" max="5" width="15.85546875" style="2" customWidth="1"/>
    <col min="6" max="6" width="13.140625" style="2" customWidth="1"/>
    <col min="7" max="7" width="12.28515625" style="2" customWidth="1"/>
  </cols>
  <sheetData>
    <row r="1" spans="1:8" s="73" customFormat="1" ht="22.5" customHeight="1" x14ac:dyDescent="0.25">
      <c r="A1" s="95" t="s">
        <v>95</v>
      </c>
      <c r="B1" s="95"/>
      <c r="C1" s="95"/>
      <c r="D1" s="95"/>
      <c r="E1" s="95"/>
      <c r="F1" s="95"/>
      <c r="G1" s="95"/>
    </row>
    <row r="2" spans="1:8" ht="16.5" customHeight="1" x14ac:dyDescent="0.25">
      <c r="A2" s="5" t="s">
        <v>0</v>
      </c>
      <c r="B2" s="96" t="s">
        <v>96</v>
      </c>
      <c r="C2" s="96" t="s">
        <v>1</v>
      </c>
      <c r="D2" s="96" t="s">
        <v>97</v>
      </c>
      <c r="E2" s="96" t="s">
        <v>2</v>
      </c>
      <c r="F2" s="96" t="s">
        <v>3</v>
      </c>
      <c r="G2" s="96" t="s">
        <v>4</v>
      </c>
    </row>
    <row r="3" spans="1:8" ht="16.5" customHeight="1" x14ac:dyDescent="0.25">
      <c r="A3" s="5" t="s">
        <v>62</v>
      </c>
      <c r="B3" s="96"/>
      <c r="C3" s="96"/>
      <c r="D3" s="96"/>
      <c r="E3" s="96"/>
      <c r="F3" s="96"/>
      <c r="G3" s="96"/>
    </row>
    <row r="4" spans="1:8" ht="16.5" customHeight="1" x14ac:dyDescent="0.25">
      <c r="A4" s="5" t="s">
        <v>63</v>
      </c>
      <c r="B4" s="96"/>
      <c r="C4" s="96"/>
      <c r="D4" s="96"/>
      <c r="E4" s="96"/>
      <c r="F4" s="96"/>
      <c r="G4" s="96"/>
    </row>
    <row r="5" spans="1:8" ht="15.75" customHeight="1" x14ac:dyDescent="0.25">
      <c r="A5" s="5" t="s">
        <v>5</v>
      </c>
      <c r="B5" s="96"/>
      <c r="C5" s="96"/>
      <c r="D5" s="96"/>
      <c r="E5" s="96"/>
      <c r="F5" s="96"/>
      <c r="G5" s="96"/>
    </row>
    <row r="6" spans="1:8" ht="17.25" customHeight="1" x14ac:dyDescent="0.25">
      <c r="A6" s="19" t="s">
        <v>6</v>
      </c>
      <c r="B6" s="3">
        <f>B7+B91+B393+B450+B481+B531</f>
        <v>4273871980</v>
      </c>
      <c r="C6" s="3">
        <f>C7+C91+C393+C450+C481+C531</f>
        <v>386400907</v>
      </c>
      <c r="D6" s="3">
        <f>D7+D91+D393+D450+D481+D531</f>
        <v>299135868.63</v>
      </c>
      <c r="E6" s="3">
        <f>E7+E91+E393+E450+E481+E531</f>
        <v>295909218.03999996</v>
      </c>
      <c r="F6" s="4">
        <f>D6/C6</f>
        <v>0.77415933350798272</v>
      </c>
      <c r="G6" s="4">
        <f>D6/B6</f>
        <v>6.9991770935076067E-2</v>
      </c>
      <c r="H6" s="20"/>
    </row>
    <row r="7" spans="1:8" ht="18" customHeight="1" x14ac:dyDescent="0.25">
      <c r="A7" s="21" t="s">
        <v>7</v>
      </c>
      <c r="B7" s="22">
        <f>B8</f>
        <v>199151160</v>
      </c>
      <c r="C7" s="22">
        <f t="shared" ref="C7" si="0">C8</f>
        <v>16756405</v>
      </c>
      <c r="D7" s="22">
        <v>7974721.3399999999</v>
      </c>
      <c r="E7" s="22">
        <v>7974721.3399999999</v>
      </c>
      <c r="F7" s="23">
        <f t="shared" ref="F7:F69" si="1">D7/C7</f>
        <v>0.4759207801434735</v>
      </c>
      <c r="G7" s="23">
        <f t="shared" ref="G7:G70" si="2">D7/B7</f>
        <v>4.0043559575550551E-2</v>
      </c>
    </row>
    <row r="8" spans="1:8" s="18" customFormat="1" ht="25.5" customHeight="1" outlineLevel="1" x14ac:dyDescent="0.2">
      <c r="A8" s="5" t="s">
        <v>64</v>
      </c>
      <c r="B8" s="6">
        <f>B9+B18+B29+B39+B49+B58+B67+B71+B81</f>
        <v>199151160</v>
      </c>
      <c r="C8" s="6">
        <f>C9+C18+C29+C39+C49+C58+C67+C71+C81</f>
        <v>16756405</v>
      </c>
      <c r="D8" s="6">
        <v>7974721.3399999999</v>
      </c>
      <c r="E8" s="6">
        <v>7974721.3399999999</v>
      </c>
      <c r="F8" s="7">
        <f t="shared" si="1"/>
        <v>0.4759207801434735</v>
      </c>
      <c r="G8" s="7">
        <f t="shared" si="2"/>
        <v>4.0043559575550551E-2</v>
      </c>
    </row>
    <row r="9" spans="1:8" s="17" customFormat="1" ht="42" customHeight="1" outlineLevel="2" x14ac:dyDescent="0.2">
      <c r="A9" s="8" t="s">
        <v>8</v>
      </c>
      <c r="B9" s="9">
        <v>25855642</v>
      </c>
      <c r="C9" s="9">
        <v>2183236</v>
      </c>
      <c r="D9" s="9">
        <v>922472.19</v>
      </c>
      <c r="E9" s="9">
        <v>922472.19</v>
      </c>
      <c r="F9" s="16">
        <f t="shared" si="1"/>
        <v>0.42252518280204243</v>
      </c>
      <c r="G9" s="16">
        <f t="shared" si="2"/>
        <v>3.567779094404231E-2</v>
      </c>
    </row>
    <row r="10" spans="1:8" ht="15" customHeight="1" outlineLevel="3" x14ac:dyDescent="0.25">
      <c r="A10" s="10" t="s">
        <v>9</v>
      </c>
      <c r="B10" s="11">
        <v>18992832</v>
      </c>
      <c r="C10" s="11">
        <v>1582736</v>
      </c>
      <c r="D10" s="11">
        <v>763257.46</v>
      </c>
      <c r="E10" s="11">
        <v>763257.46</v>
      </c>
      <c r="F10" s="14">
        <f t="shared" si="1"/>
        <v>0.48223927426936641</v>
      </c>
      <c r="G10" s="14">
        <f t="shared" si="2"/>
        <v>4.018660618911387E-2</v>
      </c>
    </row>
    <row r="11" spans="1:8" ht="15" customHeight="1" outlineLevel="3" x14ac:dyDescent="0.25">
      <c r="A11" s="10" t="s">
        <v>10</v>
      </c>
      <c r="B11" s="11">
        <v>4178423</v>
      </c>
      <c r="C11" s="11">
        <v>348202</v>
      </c>
      <c r="D11" s="11">
        <v>159214.73000000001</v>
      </c>
      <c r="E11" s="11">
        <v>159214.73000000001</v>
      </c>
      <c r="F11" s="14">
        <f t="shared" si="1"/>
        <v>0.45724817778186228</v>
      </c>
      <c r="G11" s="14">
        <f t="shared" si="2"/>
        <v>3.8104023934388644E-2</v>
      </c>
    </row>
    <row r="12" spans="1:8" ht="15" customHeight="1" outlineLevel="3" x14ac:dyDescent="0.25">
      <c r="A12" s="10" t="s">
        <v>11</v>
      </c>
      <c r="B12" s="11">
        <v>407670</v>
      </c>
      <c r="C12" s="11">
        <v>11670</v>
      </c>
      <c r="D12" s="12"/>
      <c r="E12" s="12"/>
      <c r="F12" s="14">
        <f t="shared" si="1"/>
        <v>0</v>
      </c>
      <c r="G12" s="14">
        <f t="shared" si="2"/>
        <v>0</v>
      </c>
    </row>
    <row r="13" spans="1:8" ht="15" customHeight="1" outlineLevel="3" x14ac:dyDescent="0.25">
      <c r="A13" s="10" t="s">
        <v>12</v>
      </c>
      <c r="B13" s="11">
        <v>1373756</v>
      </c>
      <c r="C13" s="11">
        <v>110000</v>
      </c>
      <c r="D13" s="12"/>
      <c r="E13" s="12"/>
      <c r="F13" s="14">
        <f t="shared" si="1"/>
        <v>0</v>
      </c>
      <c r="G13" s="14">
        <f t="shared" si="2"/>
        <v>0</v>
      </c>
    </row>
    <row r="14" spans="1:8" ht="15" customHeight="1" outlineLevel="3" x14ac:dyDescent="0.25">
      <c r="A14" s="10" t="s">
        <v>13</v>
      </c>
      <c r="B14" s="11">
        <v>394493</v>
      </c>
      <c r="C14" s="11">
        <v>80228</v>
      </c>
      <c r="D14" s="12"/>
      <c r="E14" s="12"/>
      <c r="F14" s="14">
        <f t="shared" si="1"/>
        <v>0</v>
      </c>
      <c r="G14" s="14">
        <f t="shared" si="2"/>
        <v>0</v>
      </c>
    </row>
    <row r="15" spans="1:8" ht="15" customHeight="1" outlineLevel="3" x14ac:dyDescent="0.25">
      <c r="A15" s="10" t="s">
        <v>14</v>
      </c>
      <c r="B15" s="11">
        <v>31644</v>
      </c>
      <c r="C15" s="11">
        <v>2900</v>
      </c>
      <c r="D15" s="12"/>
      <c r="E15" s="12"/>
      <c r="F15" s="14">
        <f t="shared" si="1"/>
        <v>0</v>
      </c>
      <c r="G15" s="14">
        <f t="shared" si="2"/>
        <v>0</v>
      </c>
    </row>
    <row r="16" spans="1:8" ht="15" customHeight="1" outlineLevel="3" x14ac:dyDescent="0.25">
      <c r="A16" s="10" t="s">
        <v>15</v>
      </c>
      <c r="B16" s="11">
        <v>470824</v>
      </c>
      <c r="C16" s="11">
        <v>47500</v>
      </c>
      <c r="D16" s="12"/>
      <c r="E16" s="12"/>
      <c r="F16" s="14">
        <f t="shared" si="1"/>
        <v>0</v>
      </c>
      <c r="G16" s="14">
        <f t="shared" si="2"/>
        <v>0</v>
      </c>
    </row>
    <row r="17" spans="1:7" ht="27" customHeight="1" outlineLevel="3" x14ac:dyDescent="0.25">
      <c r="A17" s="10" t="s">
        <v>16</v>
      </c>
      <c r="B17" s="11">
        <v>6000</v>
      </c>
      <c r="C17" s="12"/>
      <c r="D17" s="12"/>
      <c r="E17" s="12"/>
      <c r="F17" s="14">
        <v>0</v>
      </c>
      <c r="G17" s="14">
        <f t="shared" si="2"/>
        <v>0</v>
      </c>
    </row>
    <row r="18" spans="1:7" s="17" customFormat="1" ht="17.25" customHeight="1" outlineLevel="2" x14ac:dyDescent="0.2">
      <c r="A18" s="8" t="s">
        <v>17</v>
      </c>
      <c r="B18" s="9">
        <v>71590477</v>
      </c>
      <c r="C18" s="9">
        <v>6021100</v>
      </c>
      <c r="D18" s="9">
        <v>2606213.94</v>
      </c>
      <c r="E18" s="9">
        <v>2606213.94</v>
      </c>
      <c r="F18" s="16">
        <f t="shared" si="1"/>
        <v>0.43284681204431086</v>
      </c>
      <c r="G18" s="16">
        <f t="shared" si="2"/>
        <v>3.6404477930772831E-2</v>
      </c>
    </row>
    <row r="19" spans="1:7" ht="13.5" customHeight="1" outlineLevel="3" x14ac:dyDescent="0.25">
      <c r="A19" s="10" t="s">
        <v>9</v>
      </c>
      <c r="B19" s="11">
        <v>52452781</v>
      </c>
      <c r="C19" s="11">
        <v>4371065</v>
      </c>
      <c r="D19" s="11">
        <v>2131179.9</v>
      </c>
      <c r="E19" s="11">
        <v>2131179.9</v>
      </c>
      <c r="F19" s="14">
        <f t="shared" si="1"/>
        <v>0.48756536450498905</v>
      </c>
      <c r="G19" s="14">
        <f t="shared" si="2"/>
        <v>4.0630446267472455E-2</v>
      </c>
    </row>
    <row r="20" spans="1:7" ht="13.5" customHeight="1" outlineLevel="3" x14ac:dyDescent="0.25">
      <c r="A20" s="10" t="s">
        <v>10</v>
      </c>
      <c r="B20" s="11">
        <v>11539612</v>
      </c>
      <c r="C20" s="11">
        <v>961635</v>
      </c>
      <c r="D20" s="11">
        <v>472127.16</v>
      </c>
      <c r="E20" s="11">
        <v>472127.16</v>
      </c>
      <c r="F20" s="14">
        <f t="shared" si="1"/>
        <v>0.49096295371944654</v>
      </c>
      <c r="G20" s="14">
        <f t="shared" si="2"/>
        <v>4.0913607840540912E-2</v>
      </c>
    </row>
    <row r="21" spans="1:7" ht="13.5" customHeight="1" outlineLevel="3" x14ac:dyDescent="0.25">
      <c r="A21" s="10" t="s">
        <v>11</v>
      </c>
      <c r="B21" s="11">
        <v>1474400</v>
      </c>
      <c r="C21" s="11">
        <v>120000</v>
      </c>
      <c r="D21" s="12"/>
      <c r="E21" s="12"/>
      <c r="F21" s="14">
        <f t="shared" si="1"/>
        <v>0</v>
      </c>
      <c r="G21" s="14">
        <f t="shared" si="2"/>
        <v>0</v>
      </c>
    </row>
    <row r="22" spans="1:7" ht="13.5" customHeight="1" outlineLevel="3" x14ac:dyDescent="0.25">
      <c r="A22" s="10" t="s">
        <v>12</v>
      </c>
      <c r="B22" s="11">
        <v>2233970</v>
      </c>
      <c r="C22" s="11">
        <v>100000</v>
      </c>
      <c r="D22" s="12"/>
      <c r="E22" s="12"/>
      <c r="F22" s="14">
        <f t="shared" si="1"/>
        <v>0</v>
      </c>
      <c r="G22" s="14">
        <f t="shared" si="2"/>
        <v>0</v>
      </c>
    </row>
    <row r="23" spans="1:7" ht="13.5" customHeight="1" outlineLevel="3" x14ac:dyDescent="0.25">
      <c r="A23" s="10" t="s">
        <v>13</v>
      </c>
      <c r="B23" s="11">
        <v>1411047</v>
      </c>
      <c r="C23" s="11">
        <v>303400</v>
      </c>
      <c r="D23" s="12"/>
      <c r="E23" s="12"/>
      <c r="F23" s="14">
        <f t="shared" si="1"/>
        <v>0</v>
      </c>
      <c r="G23" s="14">
        <f t="shared" si="2"/>
        <v>0</v>
      </c>
    </row>
    <row r="24" spans="1:7" ht="13.5" customHeight="1" outlineLevel="3" x14ac:dyDescent="0.25">
      <c r="A24" s="10" t="s">
        <v>14</v>
      </c>
      <c r="B24" s="11">
        <v>202000</v>
      </c>
      <c r="C24" s="11">
        <v>15000</v>
      </c>
      <c r="D24" s="12"/>
      <c r="E24" s="12"/>
      <c r="F24" s="14">
        <f t="shared" si="1"/>
        <v>0</v>
      </c>
      <c r="G24" s="14">
        <f t="shared" si="2"/>
        <v>0</v>
      </c>
    </row>
    <row r="25" spans="1:7" ht="13.5" customHeight="1" outlineLevel="3" x14ac:dyDescent="0.25">
      <c r="A25" s="10" t="s">
        <v>15</v>
      </c>
      <c r="B25" s="11">
        <v>1688667</v>
      </c>
      <c r="C25" s="11">
        <v>147000</v>
      </c>
      <c r="D25" s="12"/>
      <c r="E25" s="12"/>
      <c r="F25" s="14">
        <f t="shared" si="1"/>
        <v>0</v>
      </c>
      <c r="G25" s="14">
        <f t="shared" si="2"/>
        <v>0</v>
      </c>
    </row>
    <row r="26" spans="1:7" ht="25.5" customHeight="1" outlineLevel="3" x14ac:dyDescent="0.25">
      <c r="A26" s="10" t="s">
        <v>16</v>
      </c>
      <c r="B26" s="11">
        <v>8000</v>
      </c>
      <c r="C26" s="12"/>
      <c r="D26" s="12"/>
      <c r="E26" s="12"/>
      <c r="F26" s="14">
        <v>0</v>
      </c>
      <c r="G26" s="14">
        <f t="shared" si="2"/>
        <v>0</v>
      </c>
    </row>
    <row r="27" spans="1:7" ht="12.75" customHeight="1" outlineLevel="3" x14ac:dyDescent="0.25">
      <c r="A27" s="10" t="s">
        <v>18</v>
      </c>
      <c r="B27" s="11">
        <v>30000</v>
      </c>
      <c r="C27" s="11">
        <v>3000</v>
      </c>
      <c r="D27" s="11">
        <v>2906.88</v>
      </c>
      <c r="E27" s="11">
        <v>2906.88</v>
      </c>
      <c r="F27" s="14">
        <f t="shared" si="1"/>
        <v>0.96896000000000004</v>
      </c>
      <c r="G27" s="14">
        <f t="shared" si="2"/>
        <v>9.689600000000001E-2</v>
      </c>
    </row>
    <row r="28" spans="1:7" ht="15" customHeight="1" outlineLevel="3" x14ac:dyDescent="0.25">
      <c r="A28" s="10" t="s">
        <v>56</v>
      </c>
      <c r="B28" s="11">
        <v>550000</v>
      </c>
      <c r="C28" s="12"/>
      <c r="D28" s="12"/>
      <c r="E28" s="12"/>
      <c r="F28" s="14">
        <v>0</v>
      </c>
      <c r="G28" s="14">
        <f t="shared" si="2"/>
        <v>0</v>
      </c>
    </row>
    <row r="29" spans="1:7" s="17" customFormat="1" ht="27" customHeight="1" outlineLevel="2" x14ac:dyDescent="0.2">
      <c r="A29" s="8" t="s">
        <v>19</v>
      </c>
      <c r="B29" s="9">
        <v>8562015</v>
      </c>
      <c r="C29" s="9">
        <v>704461</v>
      </c>
      <c r="D29" s="9">
        <v>331661.53000000003</v>
      </c>
      <c r="E29" s="9">
        <v>331661.53000000003</v>
      </c>
      <c r="F29" s="16">
        <f t="shared" si="1"/>
        <v>0.47080183289067817</v>
      </c>
      <c r="G29" s="16">
        <f t="shared" si="2"/>
        <v>3.8736387404133259E-2</v>
      </c>
    </row>
    <row r="30" spans="1:7" ht="14.25" customHeight="1" outlineLevel="3" x14ac:dyDescent="0.25">
      <c r="A30" s="10" t="s">
        <v>9</v>
      </c>
      <c r="B30" s="11">
        <v>6619134</v>
      </c>
      <c r="C30" s="11">
        <v>551594</v>
      </c>
      <c r="D30" s="11">
        <v>270456.42</v>
      </c>
      <c r="E30" s="11">
        <v>270456.42</v>
      </c>
      <c r="F30" s="14">
        <f t="shared" si="1"/>
        <v>0.49031791498819782</v>
      </c>
      <c r="G30" s="14">
        <f t="shared" si="2"/>
        <v>4.085978921109619E-2</v>
      </c>
    </row>
    <row r="31" spans="1:7" ht="14.25" customHeight="1" outlineLevel="3" x14ac:dyDescent="0.25">
      <c r="A31" s="10" t="s">
        <v>10</v>
      </c>
      <c r="B31" s="11">
        <v>1456209</v>
      </c>
      <c r="C31" s="11">
        <v>121351</v>
      </c>
      <c r="D31" s="11">
        <v>61205.11</v>
      </c>
      <c r="E31" s="11">
        <v>61205.11</v>
      </c>
      <c r="F31" s="14">
        <f t="shared" si="1"/>
        <v>0.50436428212375672</v>
      </c>
      <c r="G31" s="14">
        <f t="shared" si="2"/>
        <v>4.2030443432227102E-2</v>
      </c>
    </row>
    <row r="32" spans="1:7" ht="14.25" customHeight="1" outlineLevel="3" x14ac:dyDescent="0.25">
      <c r="A32" s="10" t="s">
        <v>11</v>
      </c>
      <c r="B32" s="11">
        <v>102600</v>
      </c>
      <c r="C32" s="12"/>
      <c r="D32" s="12"/>
      <c r="E32" s="12"/>
      <c r="F32" s="14">
        <v>0</v>
      </c>
      <c r="G32" s="14">
        <f t="shared" si="2"/>
        <v>0</v>
      </c>
    </row>
    <row r="33" spans="1:7" ht="14.25" customHeight="1" outlineLevel="3" x14ac:dyDescent="0.25">
      <c r="A33" s="10" t="s">
        <v>12</v>
      </c>
      <c r="B33" s="11">
        <v>124800</v>
      </c>
      <c r="C33" s="11">
        <v>12300</v>
      </c>
      <c r="D33" s="12"/>
      <c r="E33" s="12"/>
      <c r="F33" s="14">
        <f t="shared" si="1"/>
        <v>0</v>
      </c>
      <c r="G33" s="14">
        <f t="shared" si="2"/>
        <v>0</v>
      </c>
    </row>
    <row r="34" spans="1:7" ht="14.25" customHeight="1" outlineLevel="3" x14ac:dyDescent="0.25">
      <c r="A34" s="10" t="s">
        <v>13</v>
      </c>
      <c r="B34" s="11">
        <v>53637</v>
      </c>
      <c r="C34" s="11">
        <v>10727</v>
      </c>
      <c r="D34" s="12"/>
      <c r="E34" s="12"/>
      <c r="F34" s="14">
        <f t="shared" si="1"/>
        <v>0</v>
      </c>
      <c r="G34" s="14">
        <f t="shared" si="2"/>
        <v>0</v>
      </c>
    </row>
    <row r="35" spans="1:7" ht="14.25" customHeight="1" outlineLevel="3" x14ac:dyDescent="0.25">
      <c r="A35" s="10" t="s">
        <v>14</v>
      </c>
      <c r="B35" s="11">
        <v>22673</v>
      </c>
      <c r="C35" s="11">
        <v>1889</v>
      </c>
      <c r="D35" s="12"/>
      <c r="E35" s="12"/>
      <c r="F35" s="14">
        <f t="shared" si="1"/>
        <v>0</v>
      </c>
      <c r="G35" s="14">
        <f t="shared" si="2"/>
        <v>0</v>
      </c>
    </row>
    <row r="36" spans="1:7" ht="14.25" customHeight="1" outlineLevel="3" x14ac:dyDescent="0.25">
      <c r="A36" s="10" t="s">
        <v>15</v>
      </c>
      <c r="B36" s="11">
        <v>81862</v>
      </c>
      <c r="C36" s="11">
        <v>6600</v>
      </c>
      <c r="D36" s="12"/>
      <c r="E36" s="12"/>
      <c r="F36" s="14">
        <f t="shared" si="1"/>
        <v>0</v>
      </c>
      <c r="G36" s="14">
        <f t="shared" si="2"/>
        <v>0</v>
      </c>
    </row>
    <row r="37" spans="1:7" ht="24" customHeight="1" outlineLevel="3" x14ac:dyDescent="0.25">
      <c r="A37" s="10" t="s">
        <v>16</v>
      </c>
      <c r="B37" s="11">
        <v>1300</v>
      </c>
      <c r="C37" s="12"/>
      <c r="D37" s="12"/>
      <c r="E37" s="12"/>
      <c r="F37" s="14">
        <v>0</v>
      </c>
      <c r="G37" s="14">
        <f t="shared" si="2"/>
        <v>0</v>
      </c>
    </row>
    <row r="38" spans="1:7" ht="13.5" customHeight="1" outlineLevel="3" x14ac:dyDescent="0.25">
      <c r="A38" s="10" t="s">
        <v>56</v>
      </c>
      <c r="B38" s="11">
        <v>99800</v>
      </c>
      <c r="C38" s="12"/>
      <c r="D38" s="12"/>
      <c r="E38" s="12"/>
      <c r="F38" s="14">
        <v>0</v>
      </c>
      <c r="G38" s="14">
        <f t="shared" si="2"/>
        <v>0</v>
      </c>
    </row>
    <row r="39" spans="1:7" s="17" customFormat="1" ht="30" customHeight="1" outlineLevel="2" x14ac:dyDescent="0.2">
      <c r="A39" s="8" t="s">
        <v>20</v>
      </c>
      <c r="B39" s="9">
        <v>44685654</v>
      </c>
      <c r="C39" s="9">
        <v>3750303</v>
      </c>
      <c r="D39" s="9">
        <v>2051736.08</v>
      </c>
      <c r="E39" s="9">
        <v>2051736.08</v>
      </c>
      <c r="F39" s="16">
        <f t="shared" si="1"/>
        <v>0.54708541683165335</v>
      </c>
      <c r="G39" s="16">
        <f t="shared" si="2"/>
        <v>4.5914871918401372E-2</v>
      </c>
    </row>
    <row r="40" spans="1:7" ht="13.5" customHeight="1" outlineLevel="3" x14ac:dyDescent="0.25">
      <c r="A40" s="10" t="s">
        <v>9</v>
      </c>
      <c r="B40" s="11">
        <v>34610936</v>
      </c>
      <c r="C40" s="11">
        <v>2884245</v>
      </c>
      <c r="D40" s="11">
        <v>1621388.69</v>
      </c>
      <c r="E40" s="11">
        <v>1621388.69</v>
      </c>
      <c r="F40" s="14">
        <f t="shared" si="1"/>
        <v>0.56215359305468149</v>
      </c>
      <c r="G40" s="14">
        <f t="shared" si="2"/>
        <v>4.6846138168583476E-2</v>
      </c>
    </row>
    <row r="41" spans="1:7" ht="13.5" customHeight="1" outlineLevel="3" x14ac:dyDescent="0.25">
      <c r="A41" s="10" t="s">
        <v>10</v>
      </c>
      <c r="B41" s="11">
        <v>7614406</v>
      </c>
      <c r="C41" s="11">
        <v>634533</v>
      </c>
      <c r="D41" s="11">
        <v>338006.79</v>
      </c>
      <c r="E41" s="11">
        <v>338006.79</v>
      </c>
      <c r="F41" s="14">
        <f t="shared" si="1"/>
        <v>0.53268591231661711</v>
      </c>
      <c r="G41" s="14">
        <f t="shared" si="2"/>
        <v>4.4390434395013868E-2</v>
      </c>
    </row>
    <row r="42" spans="1:7" ht="13.5" customHeight="1" outlineLevel="3" x14ac:dyDescent="0.25">
      <c r="A42" s="10" t="s">
        <v>11</v>
      </c>
      <c r="B42" s="11">
        <v>750000</v>
      </c>
      <c r="C42" s="11">
        <v>90000</v>
      </c>
      <c r="D42" s="11">
        <v>89998.75</v>
      </c>
      <c r="E42" s="11">
        <v>89998.75</v>
      </c>
      <c r="F42" s="14">
        <f t="shared" si="1"/>
        <v>0.99998611111111113</v>
      </c>
      <c r="G42" s="14">
        <f t="shared" si="2"/>
        <v>0.11999833333333333</v>
      </c>
    </row>
    <row r="43" spans="1:7" ht="13.5" customHeight="1" outlineLevel="3" x14ac:dyDescent="0.25">
      <c r="A43" s="10" t="s">
        <v>12</v>
      </c>
      <c r="B43" s="11">
        <v>472000</v>
      </c>
      <c r="C43" s="11">
        <v>60000</v>
      </c>
      <c r="D43" s="12"/>
      <c r="E43" s="12"/>
      <c r="F43" s="14">
        <f t="shared" si="1"/>
        <v>0</v>
      </c>
      <c r="G43" s="14">
        <f t="shared" si="2"/>
        <v>0</v>
      </c>
    </row>
    <row r="44" spans="1:7" ht="13.5" customHeight="1" outlineLevel="3" x14ac:dyDescent="0.25">
      <c r="A44" s="10" t="s">
        <v>21</v>
      </c>
      <c r="B44" s="11">
        <v>18000</v>
      </c>
      <c r="C44" s="11">
        <v>1500</v>
      </c>
      <c r="D44" s="13">
        <v>896</v>
      </c>
      <c r="E44" s="13">
        <v>896</v>
      </c>
      <c r="F44" s="14">
        <f t="shared" si="1"/>
        <v>0.59733333333333338</v>
      </c>
      <c r="G44" s="14">
        <f t="shared" si="2"/>
        <v>4.9777777777777775E-2</v>
      </c>
    </row>
    <row r="45" spans="1:7" ht="13.5" customHeight="1" outlineLevel="3" x14ac:dyDescent="0.25">
      <c r="A45" s="10" t="s">
        <v>13</v>
      </c>
      <c r="B45" s="11">
        <v>754444</v>
      </c>
      <c r="C45" s="11">
        <v>46396</v>
      </c>
      <c r="D45" s="12"/>
      <c r="E45" s="12"/>
      <c r="F45" s="14">
        <f t="shared" si="1"/>
        <v>0</v>
      </c>
      <c r="G45" s="14">
        <f t="shared" si="2"/>
        <v>0</v>
      </c>
    </row>
    <row r="46" spans="1:7" ht="13.5" customHeight="1" outlineLevel="3" x14ac:dyDescent="0.25">
      <c r="A46" s="10" t="s">
        <v>14</v>
      </c>
      <c r="B46" s="11">
        <v>26368</v>
      </c>
      <c r="C46" s="11">
        <v>2394</v>
      </c>
      <c r="D46" s="11">
        <v>1445.85</v>
      </c>
      <c r="E46" s="11">
        <v>1445.85</v>
      </c>
      <c r="F46" s="14">
        <f t="shared" si="1"/>
        <v>0.60394736842105257</v>
      </c>
      <c r="G46" s="14">
        <f t="shared" si="2"/>
        <v>5.4833510315533976E-2</v>
      </c>
    </row>
    <row r="47" spans="1:7" ht="13.5" customHeight="1" outlineLevel="3" x14ac:dyDescent="0.25">
      <c r="A47" s="10" t="s">
        <v>15</v>
      </c>
      <c r="B47" s="11">
        <v>379500</v>
      </c>
      <c r="C47" s="11">
        <v>26235</v>
      </c>
      <c r="D47" s="12"/>
      <c r="E47" s="12"/>
      <c r="F47" s="14">
        <f t="shared" si="1"/>
        <v>0</v>
      </c>
      <c r="G47" s="14">
        <f t="shared" si="2"/>
        <v>0</v>
      </c>
    </row>
    <row r="48" spans="1:7" ht="13.5" customHeight="1" outlineLevel="3" x14ac:dyDescent="0.25">
      <c r="A48" s="10" t="s">
        <v>18</v>
      </c>
      <c r="B48" s="11">
        <v>60000</v>
      </c>
      <c r="C48" s="11">
        <v>5000</v>
      </c>
      <c r="D48" s="12"/>
      <c r="E48" s="12"/>
      <c r="F48" s="14">
        <f t="shared" si="1"/>
        <v>0</v>
      </c>
      <c r="G48" s="14">
        <f t="shared" si="2"/>
        <v>0</v>
      </c>
    </row>
    <row r="49" spans="1:7" s="17" customFormat="1" ht="27.75" customHeight="1" outlineLevel="2" x14ac:dyDescent="0.2">
      <c r="A49" s="8" t="s">
        <v>92</v>
      </c>
      <c r="B49" s="9">
        <v>9979327</v>
      </c>
      <c r="C49" s="9">
        <v>831409</v>
      </c>
      <c r="D49" s="9">
        <v>414674.18</v>
      </c>
      <c r="E49" s="9">
        <v>414674.18</v>
      </c>
      <c r="F49" s="16">
        <f t="shared" si="1"/>
        <v>0.49876075433390787</v>
      </c>
      <c r="G49" s="16">
        <f t="shared" si="2"/>
        <v>4.1553321180877227E-2</v>
      </c>
    </row>
    <row r="50" spans="1:7" ht="13.5" customHeight="1" outlineLevel="3" x14ac:dyDescent="0.25">
      <c r="A50" s="10" t="s">
        <v>9</v>
      </c>
      <c r="B50" s="11">
        <v>7486805</v>
      </c>
      <c r="C50" s="11">
        <v>623901</v>
      </c>
      <c r="D50" s="11">
        <v>339479.27</v>
      </c>
      <c r="E50" s="11">
        <v>339479.27</v>
      </c>
      <c r="F50" s="14">
        <f t="shared" si="1"/>
        <v>0.54412361897159967</v>
      </c>
      <c r="G50" s="14">
        <f t="shared" si="2"/>
        <v>4.5343677309613382E-2</v>
      </c>
    </row>
    <row r="51" spans="1:7" ht="13.5" customHeight="1" outlineLevel="3" x14ac:dyDescent="0.25">
      <c r="A51" s="10" t="s">
        <v>10</v>
      </c>
      <c r="B51" s="11">
        <v>1647097</v>
      </c>
      <c r="C51" s="11">
        <v>137258</v>
      </c>
      <c r="D51" s="11">
        <v>75194.91</v>
      </c>
      <c r="E51" s="11">
        <v>75194.91</v>
      </c>
      <c r="F51" s="14">
        <f t="shared" si="1"/>
        <v>0.54783626455288581</v>
      </c>
      <c r="G51" s="14">
        <f t="shared" si="2"/>
        <v>4.5652994328810023E-2</v>
      </c>
    </row>
    <row r="52" spans="1:7" ht="13.5" customHeight="1" outlineLevel="3" x14ac:dyDescent="0.25">
      <c r="A52" s="10" t="s">
        <v>11</v>
      </c>
      <c r="B52" s="11">
        <v>168900</v>
      </c>
      <c r="C52" s="11">
        <v>11000</v>
      </c>
      <c r="D52" s="12"/>
      <c r="E52" s="12"/>
      <c r="F52" s="14">
        <f t="shared" si="1"/>
        <v>0</v>
      </c>
      <c r="G52" s="14">
        <f t="shared" si="2"/>
        <v>0</v>
      </c>
    </row>
    <row r="53" spans="1:7" ht="13.5" customHeight="1" outlineLevel="3" x14ac:dyDescent="0.25">
      <c r="A53" s="10" t="s">
        <v>12</v>
      </c>
      <c r="B53" s="11">
        <v>356300</v>
      </c>
      <c r="C53" s="11">
        <v>32770</v>
      </c>
      <c r="D53" s="12"/>
      <c r="E53" s="12"/>
      <c r="F53" s="14">
        <f t="shared" si="1"/>
        <v>0</v>
      </c>
      <c r="G53" s="14">
        <f t="shared" si="2"/>
        <v>0</v>
      </c>
    </row>
    <row r="54" spans="1:7" ht="13.5" customHeight="1" outlineLevel="3" x14ac:dyDescent="0.25">
      <c r="A54" s="10" t="s">
        <v>13</v>
      </c>
      <c r="B54" s="11">
        <v>67260</v>
      </c>
      <c r="C54" s="11">
        <v>13650</v>
      </c>
      <c r="D54" s="12"/>
      <c r="E54" s="12"/>
      <c r="F54" s="14">
        <f t="shared" si="1"/>
        <v>0</v>
      </c>
      <c r="G54" s="14">
        <f t="shared" si="2"/>
        <v>0</v>
      </c>
    </row>
    <row r="55" spans="1:7" ht="13.5" customHeight="1" outlineLevel="3" x14ac:dyDescent="0.25">
      <c r="A55" s="10" t="s">
        <v>14</v>
      </c>
      <c r="B55" s="11">
        <v>18005</v>
      </c>
      <c r="C55" s="11">
        <v>1500</v>
      </c>
      <c r="D55" s="12"/>
      <c r="E55" s="12"/>
      <c r="F55" s="14">
        <f t="shared" si="1"/>
        <v>0</v>
      </c>
      <c r="G55" s="14">
        <f t="shared" si="2"/>
        <v>0</v>
      </c>
    </row>
    <row r="56" spans="1:7" ht="13.5" customHeight="1" outlineLevel="3" x14ac:dyDescent="0.25">
      <c r="A56" s="10" t="s">
        <v>15</v>
      </c>
      <c r="B56" s="11">
        <v>135960</v>
      </c>
      <c r="C56" s="11">
        <v>11330</v>
      </c>
      <c r="D56" s="12"/>
      <c r="E56" s="12"/>
      <c r="F56" s="14">
        <f t="shared" si="1"/>
        <v>0</v>
      </c>
      <c r="G56" s="14">
        <f t="shared" si="2"/>
        <v>0</v>
      </c>
    </row>
    <row r="57" spans="1:7" ht="13.5" customHeight="1" outlineLevel="3" x14ac:dyDescent="0.25">
      <c r="A57" s="10" t="s">
        <v>56</v>
      </c>
      <c r="B57" s="11">
        <v>99000</v>
      </c>
      <c r="C57" s="12"/>
      <c r="D57" s="12"/>
      <c r="E57" s="12"/>
      <c r="F57" s="14">
        <v>0</v>
      </c>
      <c r="G57" s="14">
        <f t="shared" si="2"/>
        <v>0</v>
      </c>
    </row>
    <row r="58" spans="1:7" s="17" customFormat="1" ht="26.25" customHeight="1" outlineLevel="2" x14ac:dyDescent="0.2">
      <c r="A58" s="8" t="s">
        <v>22</v>
      </c>
      <c r="B58" s="9">
        <v>3642616</v>
      </c>
      <c r="C58" s="9">
        <f>SUM(C59:C66)</f>
        <v>285419</v>
      </c>
      <c r="D58" s="9">
        <v>145419.29999999999</v>
      </c>
      <c r="E58" s="9">
        <v>145419.29999999999</v>
      </c>
      <c r="F58" s="16">
        <f t="shared" si="1"/>
        <v>0.50949411216492235</v>
      </c>
      <c r="G58" s="16">
        <f t="shared" si="2"/>
        <v>3.9921666187157798E-2</v>
      </c>
    </row>
    <row r="59" spans="1:7" ht="13.5" customHeight="1" outlineLevel="3" x14ac:dyDescent="0.25">
      <c r="A59" s="10" t="s">
        <v>9</v>
      </c>
      <c r="B59" s="11">
        <v>2601337</v>
      </c>
      <c r="C59" s="11">
        <v>216778</v>
      </c>
      <c r="D59" s="11">
        <v>119196.16</v>
      </c>
      <c r="E59" s="11">
        <v>119196.16</v>
      </c>
      <c r="F59" s="14">
        <f t="shared" si="1"/>
        <v>0.54985358292815689</v>
      </c>
      <c r="G59" s="14">
        <f t="shared" si="2"/>
        <v>4.5821114296225367E-2</v>
      </c>
    </row>
    <row r="60" spans="1:7" ht="13.5" customHeight="1" outlineLevel="3" x14ac:dyDescent="0.25">
      <c r="A60" s="10" t="s">
        <v>10</v>
      </c>
      <c r="B60" s="11">
        <v>572294</v>
      </c>
      <c r="C60" s="11">
        <v>47691</v>
      </c>
      <c r="D60" s="11">
        <v>26223.14</v>
      </c>
      <c r="E60" s="11">
        <v>26223.14</v>
      </c>
      <c r="F60" s="14">
        <f t="shared" si="1"/>
        <v>0.54985510893040612</v>
      </c>
      <c r="G60" s="14">
        <f t="shared" si="2"/>
        <v>4.5821098945646815E-2</v>
      </c>
    </row>
    <row r="61" spans="1:7" ht="13.5" customHeight="1" outlineLevel="3" x14ac:dyDescent="0.25">
      <c r="A61" s="10" t="s">
        <v>11</v>
      </c>
      <c r="B61" s="11">
        <v>134700</v>
      </c>
      <c r="C61" s="12"/>
      <c r="D61" s="12"/>
      <c r="E61" s="12"/>
      <c r="F61" s="14">
        <v>0</v>
      </c>
      <c r="G61" s="14">
        <f t="shared" si="2"/>
        <v>0</v>
      </c>
    </row>
    <row r="62" spans="1:7" ht="13.5" customHeight="1" outlineLevel="3" x14ac:dyDescent="0.25">
      <c r="A62" s="10" t="s">
        <v>12</v>
      </c>
      <c r="B62" s="11">
        <v>159327</v>
      </c>
      <c r="C62" s="11">
        <v>6500</v>
      </c>
      <c r="D62" s="12"/>
      <c r="E62" s="12"/>
      <c r="F62" s="14">
        <f t="shared" si="1"/>
        <v>0</v>
      </c>
      <c r="G62" s="14">
        <f t="shared" si="2"/>
        <v>0</v>
      </c>
    </row>
    <row r="63" spans="1:7" ht="13.5" customHeight="1" outlineLevel="3" x14ac:dyDescent="0.25">
      <c r="A63" s="10" t="s">
        <v>13</v>
      </c>
      <c r="B63" s="11">
        <v>25209</v>
      </c>
      <c r="C63" s="11">
        <v>10000</v>
      </c>
      <c r="D63" s="12"/>
      <c r="E63" s="12"/>
      <c r="F63" s="14">
        <f t="shared" si="1"/>
        <v>0</v>
      </c>
      <c r="G63" s="14">
        <f t="shared" si="2"/>
        <v>0</v>
      </c>
    </row>
    <row r="64" spans="1:7" ht="13.5" customHeight="1" outlineLevel="3" x14ac:dyDescent="0.25">
      <c r="A64" s="10" t="s">
        <v>14</v>
      </c>
      <c r="B64" s="11">
        <v>3449</v>
      </c>
      <c r="C64" s="13">
        <v>350</v>
      </c>
      <c r="D64" s="12"/>
      <c r="E64" s="12"/>
      <c r="F64" s="14">
        <f t="shared" si="1"/>
        <v>0</v>
      </c>
      <c r="G64" s="14">
        <f t="shared" si="2"/>
        <v>0</v>
      </c>
    </row>
    <row r="65" spans="1:7" ht="13.5" customHeight="1" outlineLevel="3" x14ac:dyDescent="0.25">
      <c r="A65" s="10" t="s">
        <v>15</v>
      </c>
      <c r="B65" s="11">
        <v>45100</v>
      </c>
      <c r="C65" s="11">
        <v>4100</v>
      </c>
      <c r="D65" s="12"/>
      <c r="E65" s="12"/>
      <c r="F65" s="14">
        <f t="shared" si="1"/>
        <v>0</v>
      </c>
      <c r="G65" s="14">
        <f t="shared" si="2"/>
        <v>0</v>
      </c>
    </row>
    <row r="66" spans="1:7" ht="13.5" customHeight="1" outlineLevel="3" x14ac:dyDescent="0.25">
      <c r="A66" s="10" t="s">
        <v>56</v>
      </c>
      <c r="B66" s="11">
        <v>101200</v>
      </c>
      <c r="C66" s="12"/>
      <c r="D66" s="12"/>
      <c r="E66" s="12"/>
      <c r="F66" s="14">
        <v>0</v>
      </c>
      <c r="G66" s="14">
        <f t="shared" si="2"/>
        <v>0</v>
      </c>
    </row>
    <row r="67" spans="1:7" s="17" customFormat="1" ht="27" customHeight="1" outlineLevel="2" x14ac:dyDescent="0.2">
      <c r="A67" s="8" t="s">
        <v>23</v>
      </c>
      <c r="B67" s="9">
        <v>15219262</v>
      </c>
      <c r="C67" s="9">
        <v>1267022</v>
      </c>
      <c r="D67" s="9">
        <v>762644.77</v>
      </c>
      <c r="E67" s="9">
        <v>762644.77</v>
      </c>
      <c r="F67" s="16">
        <f t="shared" si="1"/>
        <v>0.60191912216204613</v>
      </c>
      <c r="G67" s="16">
        <f t="shared" si="2"/>
        <v>5.0110496159406416E-2</v>
      </c>
    </row>
    <row r="68" spans="1:7" ht="12.75" customHeight="1" outlineLevel="3" x14ac:dyDescent="0.25">
      <c r="A68" s="10" t="s">
        <v>9</v>
      </c>
      <c r="B68" s="11">
        <v>12462510</v>
      </c>
      <c r="C68" s="11">
        <v>1038543</v>
      </c>
      <c r="D68" s="11">
        <v>625865.41</v>
      </c>
      <c r="E68" s="11">
        <v>625865.41</v>
      </c>
      <c r="F68" s="14">
        <f t="shared" si="1"/>
        <v>0.60263793603153648</v>
      </c>
      <c r="G68" s="14">
        <f t="shared" si="2"/>
        <v>5.0219852180660239E-2</v>
      </c>
    </row>
    <row r="69" spans="1:7" ht="12.75" customHeight="1" outlineLevel="3" x14ac:dyDescent="0.25">
      <c r="A69" s="10" t="s">
        <v>10</v>
      </c>
      <c r="B69" s="11">
        <v>2741752</v>
      </c>
      <c r="C69" s="11">
        <v>228479</v>
      </c>
      <c r="D69" s="11">
        <v>136779.35999999999</v>
      </c>
      <c r="E69" s="11">
        <v>136779.35999999999</v>
      </c>
      <c r="F69" s="14">
        <f t="shared" si="1"/>
        <v>0.59865177981346196</v>
      </c>
      <c r="G69" s="14">
        <f t="shared" si="2"/>
        <v>4.9887575535642895E-2</v>
      </c>
    </row>
    <row r="70" spans="1:7" ht="12.75" customHeight="1" outlineLevel="3" x14ac:dyDescent="0.25">
      <c r="A70" s="10" t="s">
        <v>11</v>
      </c>
      <c r="B70" s="11">
        <v>15000</v>
      </c>
      <c r="C70" s="12"/>
      <c r="D70" s="12"/>
      <c r="E70" s="12"/>
      <c r="F70" s="14">
        <v>0</v>
      </c>
      <c r="G70" s="14">
        <f t="shared" si="2"/>
        <v>0</v>
      </c>
    </row>
    <row r="71" spans="1:7" s="17" customFormat="1" ht="26.25" customHeight="1" outlineLevel="2" x14ac:dyDescent="0.2">
      <c r="A71" s="8" t="s">
        <v>24</v>
      </c>
      <c r="B71" s="9">
        <v>16204679</v>
      </c>
      <c r="C71" s="9">
        <v>1439992</v>
      </c>
      <c r="D71" s="9">
        <v>588076.01</v>
      </c>
      <c r="E71" s="9">
        <v>588076.01</v>
      </c>
      <c r="F71" s="16">
        <f t="shared" ref="F71:F134" si="3">D71/C71</f>
        <v>0.40838838687992712</v>
      </c>
      <c r="G71" s="16">
        <f t="shared" ref="G71:G134" si="4">D71/B71</f>
        <v>3.6290506587634351E-2</v>
      </c>
    </row>
    <row r="72" spans="1:7" ht="12.75" customHeight="1" outlineLevel="3" x14ac:dyDescent="0.25">
      <c r="A72" s="10" t="s">
        <v>9</v>
      </c>
      <c r="B72" s="11">
        <v>11123899</v>
      </c>
      <c r="C72" s="11">
        <v>926991</v>
      </c>
      <c r="D72" s="11">
        <v>452765.47</v>
      </c>
      <c r="E72" s="11">
        <v>452765.47</v>
      </c>
      <c r="F72" s="14">
        <f t="shared" si="3"/>
        <v>0.48842488222647251</v>
      </c>
      <c r="G72" s="14">
        <f t="shared" si="4"/>
        <v>4.0702047906044453E-2</v>
      </c>
    </row>
    <row r="73" spans="1:7" ht="12.75" customHeight="1" outlineLevel="3" x14ac:dyDescent="0.25">
      <c r="A73" s="10" t="s">
        <v>10</v>
      </c>
      <c r="B73" s="11">
        <v>2447258</v>
      </c>
      <c r="C73" s="11">
        <v>203939</v>
      </c>
      <c r="D73" s="11">
        <v>110610.54</v>
      </c>
      <c r="E73" s="11">
        <v>110610.54</v>
      </c>
      <c r="F73" s="14">
        <f t="shared" si="3"/>
        <v>0.54237070888844208</v>
      </c>
      <c r="G73" s="14">
        <f t="shared" si="4"/>
        <v>4.5197743760567947E-2</v>
      </c>
    </row>
    <row r="74" spans="1:7" ht="12.75" customHeight="1" outlineLevel="3" x14ac:dyDescent="0.25">
      <c r="A74" s="10" t="s">
        <v>11</v>
      </c>
      <c r="B74" s="11">
        <v>358109</v>
      </c>
      <c r="C74" s="11">
        <v>29800</v>
      </c>
      <c r="D74" s="12"/>
      <c r="E74" s="12"/>
      <c r="F74" s="14">
        <f t="shared" si="3"/>
        <v>0</v>
      </c>
      <c r="G74" s="14">
        <f t="shared" si="4"/>
        <v>0</v>
      </c>
    </row>
    <row r="75" spans="1:7" ht="12.75" customHeight="1" outlineLevel="3" x14ac:dyDescent="0.25">
      <c r="A75" s="10" t="s">
        <v>12</v>
      </c>
      <c r="B75" s="11">
        <v>770000</v>
      </c>
      <c r="C75" s="11">
        <v>64100</v>
      </c>
      <c r="D75" s="11">
        <v>24700</v>
      </c>
      <c r="E75" s="11">
        <v>24700</v>
      </c>
      <c r="F75" s="14">
        <f t="shared" si="3"/>
        <v>0.38533541341653665</v>
      </c>
      <c r="G75" s="14">
        <f t="shared" si="4"/>
        <v>3.207792207792208E-2</v>
      </c>
    </row>
    <row r="76" spans="1:7" ht="12.75" customHeight="1" outlineLevel="3" x14ac:dyDescent="0.25">
      <c r="A76" s="10" t="s">
        <v>13</v>
      </c>
      <c r="B76" s="11">
        <v>716049</v>
      </c>
      <c r="C76" s="11">
        <v>154205</v>
      </c>
      <c r="D76" s="12"/>
      <c r="E76" s="12"/>
      <c r="F76" s="14">
        <f t="shared" si="3"/>
        <v>0</v>
      </c>
      <c r="G76" s="14">
        <f t="shared" si="4"/>
        <v>0</v>
      </c>
    </row>
    <row r="77" spans="1:7" ht="12.75" customHeight="1" outlineLevel="3" x14ac:dyDescent="0.25">
      <c r="A77" s="10" t="s">
        <v>14</v>
      </c>
      <c r="B77" s="11">
        <v>67269</v>
      </c>
      <c r="C77" s="11">
        <v>6826</v>
      </c>
      <c r="D77" s="12"/>
      <c r="E77" s="12"/>
      <c r="F77" s="14">
        <f t="shared" si="3"/>
        <v>0</v>
      </c>
      <c r="G77" s="14">
        <f t="shared" si="4"/>
        <v>0</v>
      </c>
    </row>
    <row r="78" spans="1:7" ht="12.75" customHeight="1" outlineLevel="3" x14ac:dyDescent="0.25">
      <c r="A78" s="10" t="s">
        <v>15</v>
      </c>
      <c r="B78" s="11">
        <v>557095</v>
      </c>
      <c r="C78" s="11">
        <v>54131</v>
      </c>
      <c r="D78" s="12"/>
      <c r="E78" s="12"/>
      <c r="F78" s="14">
        <f t="shared" si="3"/>
        <v>0</v>
      </c>
      <c r="G78" s="14">
        <f t="shared" si="4"/>
        <v>0</v>
      </c>
    </row>
    <row r="79" spans="1:7" ht="12.75" customHeight="1" outlineLevel="3" x14ac:dyDescent="0.25">
      <c r="A79" s="10" t="s">
        <v>18</v>
      </c>
      <c r="B79" s="11">
        <v>15000</v>
      </c>
      <c r="C79" s="12"/>
      <c r="D79" s="12"/>
      <c r="E79" s="12"/>
      <c r="F79" s="14">
        <v>0</v>
      </c>
      <c r="G79" s="14">
        <f t="shared" si="4"/>
        <v>0</v>
      </c>
    </row>
    <row r="80" spans="1:7" ht="12.75" customHeight="1" outlineLevel="3" x14ac:dyDescent="0.25">
      <c r="A80" s="10" t="s">
        <v>56</v>
      </c>
      <c r="B80" s="11">
        <v>150000</v>
      </c>
      <c r="C80" s="12"/>
      <c r="D80" s="12"/>
      <c r="E80" s="12"/>
      <c r="F80" s="14">
        <v>0</v>
      </c>
      <c r="G80" s="14">
        <f t="shared" si="4"/>
        <v>0</v>
      </c>
    </row>
    <row r="81" spans="1:7" s="17" customFormat="1" ht="26.25" customHeight="1" outlineLevel="2" x14ac:dyDescent="0.2">
      <c r="A81" s="8" t="s">
        <v>25</v>
      </c>
      <c r="B81" s="9">
        <v>3411488</v>
      </c>
      <c r="C81" s="9">
        <v>273463</v>
      </c>
      <c r="D81" s="9">
        <v>151823.34</v>
      </c>
      <c r="E81" s="9">
        <v>151823.34</v>
      </c>
      <c r="F81" s="16">
        <f t="shared" si="3"/>
        <v>0.55518786819423471</v>
      </c>
      <c r="G81" s="16">
        <f t="shared" si="4"/>
        <v>4.450355387443837E-2</v>
      </c>
    </row>
    <row r="82" spans="1:7" ht="12.75" customHeight="1" outlineLevel="3" x14ac:dyDescent="0.25">
      <c r="A82" s="10" t="s">
        <v>9</v>
      </c>
      <c r="B82" s="11">
        <v>2511272</v>
      </c>
      <c r="C82" s="11">
        <v>209273</v>
      </c>
      <c r="D82" s="11">
        <v>124445.36</v>
      </c>
      <c r="E82" s="11">
        <v>124445.36</v>
      </c>
      <c r="F82" s="14">
        <f t="shared" si="3"/>
        <v>0.59465559341147689</v>
      </c>
      <c r="G82" s="14">
        <f t="shared" si="4"/>
        <v>4.9554711715815727E-2</v>
      </c>
    </row>
    <row r="83" spans="1:7" ht="12.75" customHeight="1" outlineLevel="3" x14ac:dyDescent="0.25">
      <c r="A83" s="10" t="s">
        <v>10</v>
      </c>
      <c r="B83" s="11">
        <v>552480</v>
      </c>
      <c r="C83" s="11">
        <v>46040</v>
      </c>
      <c r="D83" s="11">
        <v>27377.98</v>
      </c>
      <c r="E83" s="11">
        <v>27377.98</v>
      </c>
      <c r="F83" s="14">
        <f t="shared" si="3"/>
        <v>0.59465638575152036</v>
      </c>
      <c r="G83" s="14">
        <f t="shared" si="4"/>
        <v>4.9554698812626703E-2</v>
      </c>
    </row>
    <row r="84" spans="1:7" ht="12.75" customHeight="1" outlineLevel="3" x14ac:dyDescent="0.25">
      <c r="A84" s="10" t="s">
        <v>11</v>
      </c>
      <c r="B84" s="11">
        <v>50000</v>
      </c>
      <c r="C84" s="12"/>
      <c r="D84" s="12"/>
      <c r="E84" s="12"/>
      <c r="F84" s="14">
        <v>0</v>
      </c>
      <c r="G84" s="14">
        <f t="shared" si="4"/>
        <v>0</v>
      </c>
    </row>
    <row r="85" spans="1:7" ht="12.75" customHeight="1" outlineLevel="3" x14ac:dyDescent="0.25">
      <c r="A85" s="10" t="s">
        <v>12</v>
      </c>
      <c r="B85" s="11">
        <v>233100</v>
      </c>
      <c r="C85" s="11">
        <v>10000</v>
      </c>
      <c r="D85" s="12"/>
      <c r="E85" s="12"/>
      <c r="F85" s="14">
        <f t="shared" si="3"/>
        <v>0</v>
      </c>
      <c r="G85" s="14">
        <f t="shared" si="4"/>
        <v>0</v>
      </c>
    </row>
    <row r="86" spans="1:7" ht="12.75" customHeight="1" outlineLevel="3" x14ac:dyDescent="0.25">
      <c r="A86" s="10" t="s">
        <v>13</v>
      </c>
      <c r="B86" s="11">
        <v>24673</v>
      </c>
      <c r="C86" s="11">
        <v>5149</v>
      </c>
      <c r="D86" s="12"/>
      <c r="E86" s="12"/>
      <c r="F86" s="14">
        <f t="shared" si="3"/>
        <v>0</v>
      </c>
      <c r="G86" s="14">
        <f t="shared" si="4"/>
        <v>0</v>
      </c>
    </row>
    <row r="87" spans="1:7" ht="12.75" customHeight="1" outlineLevel="3" x14ac:dyDescent="0.25">
      <c r="A87" s="10" t="s">
        <v>14</v>
      </c>
      <c r="B87" s="11">
        <v>2615</v>
      </c>
      <c r="C87" s="13">
        <v>222</v>
      </c>
      <c r="D87" s="12"/>
      <c r="E87" s="12"/>
      <c r="F87" s="14">
        <f t="shared" si="3"/>
        <v>0</v>
      </c>
      <c r="G87" s="14">
        <f t="shared" si="4"/>
        <v>0</v>
      </c>
    </row>
    <row r="88" spans="1:7" ht="12.75" customHeight="1" outlineLevel="3" x14ac:dyDescent="0.25">
      <c r="A88" s="10" t="s">
        <v>15</v>
      </c>
      <c r="B88" s="11">
        <v>28500</v>
      </c>
      <c r="C88" s="11">
        <v>2625</v>
      </c>
      <c r="D88" s="12"/>
      <c r="E88" s="12"/>
      <c r="F88" s="14">
        <f t="shared" si="3"/>
        <v>0</v>
      </c>
      <c r="G88" s="14">
        <f t="shared" si="4"/>
        <v>0</v>
      </c>
    </row>
    <row r="89" spans="1:7" ht="12.75" customHeight="1" outlineLevel="3" x14ac:dyDescent="0.25">
      <c r="A89" s="10" t="s">
        <v>26</v>
      </c>
      <c r="B89" s="11">
        <v>1848</v>
      </c>
      <c r="C89" s="13">
        <v>154</v>
      </c>
      <c r="D89" s="12"/>
      <c r="E89" s="12"/>
      <c r="F89" s="14">
        <f t="shared" si="3"/>
        <v>0</v>
      </c>
      <c r="G89" s="14">
        <f t="shared" si="4"/>
        <v>0</v>
      </c>
    </row>
    <row r="90" spans="1:7" ht="27.75" customHeight="1" outlineLevel="3" x14ac:dyDescent="0.25">
      <c r="A90" s="10" t="s">
        <v>16</v>
      </c>
      <c r="B90" s="11">
        <v>7000</v>
      </c>
      <c r="C90" s="12"/>
      <c r="D90" s="12"/>
      <c r="E90" s="12"/>
      <c r="F90" s="14">
        <v>0</v>
      </c>
      <c r="G90" s="14">
        <f t="shared" si="4"/>
        <v>0</v>
      </c>
    </row>
    <row r="91" spans="1:7" s="27" customFormat="1" ht="21" customHeight="1" outlineLevel="3" x14ac:dyDescent="0.2">
      <c r="A91" s="24" t="s">
        <v>27</v>
      </c>
      <c r="B91" s="25">
        <f>B92+B138+B198+B213+B236+B253+B257+B264+B301+B321+B332+B335+B354+B361+B380</f>
        <v>3850986587</v>
      </c>
      <c r="C91" s="25">
        <f>C92+C138+C198+C213+C236+C253+C257+C264+C301+C321+C332+C335+C354+C361+C380</f>
        <v>351275651</v>
      </c>
      <c r="D91" s="25">
        <f t="shared" ref="D91:E91" si="5">D92+D138+D198+D213+D236+D253+D257+D264+D301+D321+D332+D335+D354+D361+D380</f>
        <v>276978367.99000001</v>
      </c>
      <c r="E91" s="25">
        <f t="shared" si="5"/>
        <v>273751717.39999998</v>
      </c>
      <c r="F91" s="26">
        <f t="shared" ref="F91" si="6">D91/C91</f>
        <v>0.78849293197950687</v>
      </c>
      <c r="G91" s="26">
        <f t="shared" si="4"/>
        <v>7.1924002260878306E-2</v>
      </c>
    </row>
    <row r="92" spans="1:7" s="18" customFormat="1" ht="15.75" customHeight="1" outlineLevel="1" x14ac:dyDescent="0.2">
      <c r="A92" s="28" t="s">
        <v>65</v>
      </c>
      <c r="B92" s="22">
        <f>B93+B104+B114+B125</f>
        <v>1211920903</v>
      </c>
      <c r="C92" s="22">
        <f>C93+C104+C114+C125</f>
        <v>103470561</v>
      </c>
      <c r="D92" s="22">
        <f t="shared" ref="D92:E92" si="7">D93+D104+D114+D125</f>
        <v>76987095.019999996</v>
      </c>
      <c r="E92" s="22">
        <f t="shared" si="7"/>
        <v>76987095.019999996</v>
      </c>
      <c r="F92" s="23">
        <f t="shared" si="3"/>
        <v>0.74404830007638589</v>
      </c>
      <c r="G92" s="23">
        <f t="shared" si="4"/>
        <v>6.3524851192371917E-2</v>
      </c>
    </row>
    <row r="93" spans="1:7" ht="26.25" customHeight="1" outlineLevel="2" x14ac:dyDescent="0.25">
      <c r="A93" s="5" t="s">
        <v>28</v>
      </c>
      <c r="B93" s="6">
        <v>11702620</v>
      </c>
      <c r="C93" s="6">
        <v>1843866</v>
      </c>
      <c r="D93" s="6">
        <v>719886.34</v>
      </c>
      <c r="E93" s="6">
        <v>719886.34</v>
      </c>
      <c r="F93" s="7">
        <f t="shared" si="3"/>
        <v>0.39042226495851651</v>
      </c>
      <c r="G93" s="7">
        <f t="shared" si="4"/>
        <v>6.1514971861002063E-2</v>
      </c>
    </row>
    <row r="94" spans="1:7" ht="14.25" customHeight="1" outlineLevel="3" x14ac:dyDescent="0.25">
      <c r="A94" s="10" t="s">
        <v>9</v>
      </c>
      <c r="B94" s="11">
        <v>8373841</v>
      </c>
      <c r="C94" s="11">
        <v>1240000</v>
      </c>
      <c r="D94" s="11">
        <v>595000</v>
      </c>
      <c r="E94" s="11">
        <v>595000</v>
      </c>
      <c r="F94" s="14">
        <f t="shared" si="3"/>
        <v>0.47983870967741937</v>
      </c>
      <c r="G94" s="14">
        <f t="shared" si="4"/>
        <v>7.1054609228907023E-2</v>
      </c>
    </row>
    <row r="95" spans="1:7" ht="14.25" customHeight="1" outlineLevel="3" x14ac:dyDescent="0.25">
      <c r="A95" s="10" t="s">
        <v>10</v>
      </c>
      <c r="B95" s="11">
        <v>1842245</v>
      </c>
      <c r="C95" s="11">
        <v>272800</v>
      </c>
      <c r="D95" s="11">
        <v>124886.34</v>
      </c>
      <c r="E95" s="11">
        <v>124886.34</v>
      </c>
      <c r="F95" s="14">
        <f t="shared" si="3"/>
        <v>0.45779450146627565</v>
      </c>
      <c r="G95" s="14">
        <f t="shared" si="4"/>
        <v>6.7790299335864668E-2</v>
      </c>
    </row>
    <row r="96" spans="1:7" ht="14.25" customHeight="1" outlineLevel="3" x14ac:dyDescent="0.25">
      <c r="A96" s="10" t="s">
        <v>11</v>
      </c>
      <c r="B96" s="11">
        <v>101356</v>
      </c>
      <c r="C96" s="12"/>
      <c r="D96" s="12"/>
      <c r="E96" s="12"/>
      <c r="F96" s="14">
        <v>0</v>
      </c>
      <c r="G96" s="14">
        <f t="shared" si="4"/>
        <v>0</v>
      </c>
    </row>
    <row r="97" spans="1:7" ht="14.25" customHeight="1" outlineLevel="3" x14ac:dyDescent="0.25">
      <c r="A97" s="10" t="s">
        <v>29</v>
      </c>
      <c r="B97" s="11">
        <v>5217</v>
      </c>
      <c r="C97" s="12"/>
      <c r="D97" s="12"/>
      <c r="E97" s="12"/>
      <c r="F97" s="14">
        <v>0</v>
      </c>
      <c r="G97" s="14">
        <f t="shared" si="4"/>
        <v>0</v>
      </c>
    </row>
    <row r="98" spans="1:7" ht="14.25" customHeight="1" outlineLevel="3" x14ac:dyDescent="0.25">
      <c r="A98" s="10" t="s">
        <v>12</v>
      </c>
      <c r="B98" s="11">
        <v>280248</v>
      </c>
      <c r="C98" s="11">
        <v>50000</v>
      </c>
      <c r="D98" s="12"/>
      <c r="E98" s="12"/>
      <c r="F98" s="14">
        <f t="shared" si="3"/>
        <v>0</v>
      </c>
      <c r="G98" s="14">
        <f t="shared" si="4"/>
        <v>0</v>
      </c>
    </row>
    <row r="99" spans="1:7" ht="14.25" customHeight="1" outlineLevel="3" x14ac:dyDescent="0.25">
      <c r="A99" s="10" t="s">
        <v>13</v>
      </c>
      <c r="B99" s="11">
        <v>643020</v>
      </c>
      <c r="C99" s="11">
        <v>190000</v>
      </c>
      <c r="D99" s="12"/>
      <c r="E99" s="12"/>
      <c r="F99" s="14">
        <f t="shared" si="3"/>
        <v>0</v>
      </c>
      <c r="G99" s="14">
        <f t="shared" si="4"/>
        <v>0</v>
      </c>
    </row>
    <row r="100" spans="1:7" ht="14.25" customHeight="1" outlineLevel="3" x14ac:dyDescent="0.25">
      <c r="A100" s="10" t="s">
        <v>14</v>
      </c>
      <c r="B100" s="11">
        <v>45298</v>
      </c>
      <c r="C100" s="11">
        <v>8000</v>
      </c>
      <c r="D100" s="12"/>
      <c r="E100" s="12"/>
      <c r="F100" s="14">
        <f t="shared" si="3"/>
        <v>0</v>
      </c>
      <c r="G100" s="14">
        <f t="shared" si="4"/>
        <v>0</v>
      </c>
    </row>
    <row r="101" spans="1:7" ht="14.25" customHeight="1" outlineLevel="3" x14ac:dyDescent="0.25">
      <c r="A101" s="10" t="s">
        <v>15</v>
      </c>
      <c r="B101" s="11">
        <v>390000</v>
      </c>
      <c r="C101" s="11">
        <v>80000</v>
      </c>
      <c r="D101" s="12"/>
      <c r="E101" s="12"/>
      <c r="F101" s="14">
        <f t="shared" si="3"/>
        <v>0</v>
      </c>
      <c r="G101" s="14">
        <f t="shared" si="4"/>
        <v>0</v>
      </c>
    </row>
    <row r="102" spans="1:7" ht="14.25" customHeight="1" outlineLevel="3" x14ac:dyDescent="0.25">
      <c r="A102" s="10" t="s">
        <v>26</v>
      </c>
      <c r="B102" s="11">
        <v>18395</v>
      </c>
      <c r="C102" s="11">
        <v>3066</v>
      </c>
      <c r="D102" s="12"/>
      <c r="E102" s="12"/>
      <c r="F102" s="14">
        <f t="shared" si="3"/>
        <v>0</v>
      </c>
      <c r="G102" s="14">
        <f t="shared" si="4"/>
        <v>0</v>
      </c>
    </row>
    <row r="103" spans="1:7" ht="24.75" customHeight="1" outlineLevel="3" x14ac:dyDescent="0.25">
      <c r="A103" s="10" t="s">
        <v>16</v>
      </c>
      <c r="B103" s="11">
        <v>3000</v>
      </c>
      <c r="C103" s="12"/>
      <c r="D103" s="12"/>
      <c r="E103" s="12"/>
      <c r="F103" s="14">
        <v>0</v>
      </c>
      <c r="G103" s="14">
        <f t="shared" si="4"/>
        <v>0</v>
      </c>
    </row>
    <row r="104" spans="1:7" ht="16.5" customHeight="1" outlineLevel="2" x14ac:dyDescent="0.25">
      <c r="A104" s="5" t="s">
        <v>30</v>
      </c>
      <c r="B104" s="6">
        <v>15264288</v>
      </c>
      <c r="C104" s="6">
        <v>3108191</v>
      </c>
      <c r="D104" s="6">
        <v>1041121.64</v>
      </c>
      <c r="E104" s="6">
        <v>1041121.64</v>
      </c>
      <c r="F104" s="7">
        <f t="shared" si="3"/>
        <v>0.33496063787585773</v>
      </c>
      <c r="G104" s="7">
        <f t="shared" si="4"/>
        <v>6.8206367699561218E-2</v>
      </c>
    </row>
    <row r="105" spans="1:7" ht="12.75" customHeight="1" outlineLevel="3" x14ac:dyDescent="0.25">
      <c r="A105" s="10" t="s">
        <v>9</v>
      </c>
      <c r="B105" s="11">
        <v>10922401</v>
      </c>
      <c r="C105" s="11">
        <v>2220000</v>
      </c>
      <c r="D105" s="11">
        <v>839831.51</v>
      </c>
      <c r="E105" s="11">
        <v>839831.51</v>
      </c>
      <c r="F105" s="14">
        <f t="shared" si="3"/>
        <v>0.37830248198198196</v>
      </c>
      <c r="G105" s="14">
        <f t="shared" si="4"/>
        <v>7.6890741330592052E-2</v>
      </c>
    </row>
    <row r="106" spans="1:7" ht="12.75" customHeight="1" outlineLevel="3" x14ac:dyDescent="0.25">
      <c r="A106" s="10" t="s">
        <v>10</v>
      </c>
      <c r="B106" s="11">
        <v>2402928</v>
      </c>
      <c r="C106" s="11">
        <v>488400</v>
      </c>
      <c r="D106" s="11">
        <v>187395.69</v>
      </c>
      <c r="E106" s="11">
        <v>187395.69</v>
      </c>
      <c r="F106" s="14">
        <f t="shared" si="3"/>
        <v>0.383693058968059</v>
      </c>
      <c r="G106" s="14">
        <f t="shared" si="4"/>
        <v>7.7986394099198983E-2</v>
      </c>
    </row>
    <row r="107" spans="1:7" ht="12.75" customHeight="1" outlineLevel="3" x14ac:dyDescent="0.25">
      <c r="A107" s="10" t="s">
        <v>11</v>
      </c>
      <c r="B107" s="11">
        <v>25228</v>
      </c>
      <c r="C107" s="12"/>
      <c r="D107" s="12"/>
      <c r="E107" s="12"/>
      <c r="F107" s="14">
        <v>0</v>
      </c>
      <c r="G107" s="14">
        <f t="shared" si="4"/>
        <v>0</v>
      </c>
    </row>
    <row r="108" spans="1:7" ht="12.75" customHeight="1" outlineLevel="3" x14ac:dyDescent="0.25">
      <c r="A108" s="10" t="s">
        <v>29</v>
      </c>
      <c r="B108" s="11">
        <v>5228</v>
      </c>
      <c r="C108" s="12"/>
      <c r="D108" s="12"/>
      <c r="E108" s="12"/>
      <c r="F108" s="14">
        <v>0</v>
      </c>
      <c r="G108" s="14">
        <f t="shared" si="4"/>
        <v>0</v>
      </c>
    </row>
    <row r="109" spans="1:7" ht="12.75" customHeight="1" outlineLevel="3" x14ac:dyDescent="0.25">
      <c r="A109" s="10" t="s">
        <v>12</v>
      </c>
      <c r="B109" s="11">
        <v>400585</v>
      </c>
      <c r="C109" s="11">
        <v>19400</v>
      </c>
      <c r="D109" s="12"/>
      <c r="E109" s="12"/>
      <c r="F109" s="14">
        <f t="shared" si="3"/>
        <v>0</v>
      </c>
      <c r="G109" s="14">
        <f t="shared" si="4"/>
        <v>0</v>
      </c>
    </row>
    <row r="110" spans="1:7" ht="12.75" customHeight="1" outlineLevel="3" x14ac:dyDescent="0.25">
      <c r="A110" s="10" t="s">
        <v>13</v>
      </c>
      <c r="B110" s="11">
        <v>682100</v>
      </c>
      <c r="C110" s="11">
        <v>231343</v>
      </c>
      <c r="D110" s="12"/>
      <c r="E110" s="12"/>
      <c r="F110" s="14">
        <f t="shared" si="3"/>
        <v>0</v>
      </c>
      <c r="G110" s="14">
        <f t="shared" si="4"/>
        <v>0</v>
      </c>
    </row>
    <row r="111" spans="1:7" ht="12.75" customHeight="1" outlineLevel="3" x14ac:dyDescent="0.25">
      <c r="A111" s="10" t="s">
        <v>14</v>
      </c>
      <c r="B111" s="11">
        <v>159318</v>
      </c>
      <c r="C111" s="11">
        <v>24048</v>
      </c>
      <c r="D111" s="11">
        <v>13894.44</v>
      </c>
      <c r="E111" s="11">
        <v>13894.44</v>
      </c>
      <c r="F111" s="14">
        <f t="shared" si="3"/>
        <v>0.57777944111776447</v>
      </c>
      <c r="G111" s="14">
        <f t="shared" si="4"/>
        <v>8.7211991112115389E-2</v>
      </c>
    </row>
    <row r="112" spans="1:7" ht="12.75" customHeight="1" outlineLevel="3" x14ac:dyDescent="0.25">
      <c r="A112" s="10" t="s">
        <v>15</v>
      </c>
      <c r="B112" s="11">
        <v>642500</v>
      </c>
      <c r="C112" s="11">
        <v>121000</v>
      </c>
      <c r="D112" s="12"/>
      <c r="E112" s="12"/>
      <c r="F112" s="14">
        <f t="shared" si="3"/>
        <v>0</v>
      </c>
      <c r="G112" s="14">
        <f t="shared" si="4"/>
        <v>0</v>
      </c>
    </row>
    <row r="113" spans="1:7" ht="12.75" customHeight="1" outlineLevel="3" x14ac:dyDescent="0.25">
      <c r="A113" s="10" t="s">
        <v>26</v>
      </c>
      <c r="B113" s="11">
        <v>24000</v>
      </c>
      <c r="C113" s="11">
        <v>4000</v>
      </c>
      <c r="D113" s="12"/>
      <c r="E113" s="12"/>
      <c r="F113" s="14">
        <f t="shared" si="3"/>
        <v>0</v>
      </c>
      <c r="G113" s="14">
        <f t="shared" si="4"/>
        <v>0</v>
      </c>
    </row>
    <row r="114" spans="1:7" ht="13.5" customHeight="1" outlineLevel="2" x14ac:dyDescent="0.25">
      <c r="A114" s="5" t="s">
        <v>31</v>
      </c>
      <c r="B114" s="6">
        <v>12987548</v>
      </c>
      <c r="C114" s="6">
        <v>2509809</v>
      </c>
      <c r="D114" s="6">
        <v>753957.04</v>
      </c>
      <c r="E114" s="6">
        <v>753957.04</v>
      </c>
      <c r="F114" s="7">
        <f t="shared" si="3"/>
        <v>0.30040415027597717</v>
      </c>
      <c r="G114" s="7">
        <f t="shared" si="4"/>
        <v>5.8052300557426238E-2</v>
      </c>
    </row>
    <row r="115" spans="1:7" ht="12" customHeight="1" outlineLevel="3" x14ac:dyDescent="0.25">
      <c r="A115" s="10" t="s">
        <v>9</v>
      </c>
      <c r="B115" s="11">
        <v>7977155</v>
      </c>
      <c r="C115" s="11">
        <v>1241200</v>
      </c>
      <c r="D115" s="11">
        <v>617457.04</v>
      </c>
      <c r="E115" s="11">
        <v>617457.04</v>
      </c>
      <c r="F115" s="14">
        <f t="shared" si="3"/>
        <v>0.49746780534966167</v>
      </c>
      <c r="G115" s="14">
        <f t="shared" si="4"/>
        <v>7.7403164411372224E-2</v>
      </c>
    </row>
    <row r="116" spans="1:7" ht="12" customHeight="1" outlineLevel="3" x14ac:dyDescent="0.25">
      <c r="A116" s="10" t="s">
        <v>10</v>
      </c>
      <c r="B116" s="11">
        <v>1754973</v>
      </c>
      <c r="C116" s="11">
        <v>273000</v>
      </c>
      <c r="D116" s="11">
        <v>136500</v>
      </c>
      <c r="E116" s="11">
        <v>136500</v>
      </c>
      <c r="F116" s="14">
        <f t="shared" si="3"/>
        <v>0.5</v>
      </c>
      <c r="G116" s="14">
        <f t="shared" si="4"/>
        <v>7.7778974377383583E-2</v>
      </c>
    </row>
    <row r="117" spans="1:7" ht="12" customHeight="1" outlineLevel="3" x14ac:dyDescent="0.25">
      <c r="A117" s="10" t="s">
        <v>11</v>
      </c>
      <c r="B117" s="11">
        <v>150000</v>
      </c>
      <c r="C117" s="12">
        <v>50000</v>
      </c>
      <c r="D117" s="12"/>
      <c r="E117" s="12"/>
      <c r="F117" s="14">
        <v>0</v>
      </c>
      <c r="G117" s="14">
        <f t="shared" si="4"/>
        <v>0</v>
      </c>
    </row>
    <row r="118" spans="1:7" ht="12" customHeight="1" outlineLevel="3" x14ac:dyDescent="0.25">
      <c r="A118" s="10" t="s">
        <v>34</v>
      </c>
      <c r="B118" s="11">
        <v>449065</v>
      </c>
      <c r="C118" s="11">
        <v>80400</v>
      </c>
      <c r="D118" s="12"/>
      <c r="E118" s="12"/>
      <c r="F118" s="14">
        <f t="shared" si="3"/>
        <v>0</v>
      </c>
      <c r="G118" s="14">
        <f t="shared" si="4"/>
        <v>0</v>
      </c>
    </row>
    <row r="119" spans="1:7" ht="12" customHeight="1" outlineLevel="3" x14ac:dyDescent="0.25">
      <c r="A119" s="10" t="s">
        <v>12</v>
      </c>
      <c r="B119" s="11">
        <v>180000</v>
      </c>
      <c r="C119" s="11">
        <v>35000</v>
      </c>
      <c r="D119" s="12"/>
      <c r="E119" s="12"/>
      <c r="F119" s="14">
        <f t="shared" si="3"/>
        <v>0</v>
      </c>
      <c r="G119" s="14">
        <f t="shared" si="4"/>
        <v>0</v>
      </c>
    </row>
    <row r="120" spans="1:7" ht="12" customHeight="1" outlineLevel="3" x14ac:dyDescent="0.25">
      <c r="A120" s="10" t="s">
        <v>13</v>
      </c>
      <c r="B120" s="11">
        <v>1716615</v>
      </c>
      <c r="C120" s="11">
        <v>696425</v>
      </c>
      <c r="D120" s="12"/>
      <c r="E120" s="12"/>
      <c r="F120" s="14">
        <f t="shared" si="3"/>
        <v>0</v>
      </c>
      <c r="G120" s="14">
        <f t="shared" si="4"/>
        <v>0</v>
      </c>
    </row>
    <row r="121" spans="1:7" ht="12" customHeight="1" outlineLevel="3" x14ac:dyDescent="0.25">
      <c r="A121" s="10" t="s">
        <v>14</v>
      </c>
      <c r="B121" s="11">
        <v>106988</v>
      </c>
      <c r="C121" s="11">
        <v>16666</v>
      </c>
      <c r="D121" s="12"/>
      <c r="E121" s="12"/>
      <c r="F121" s="14">
        <f t="shared" si="3"/>
        <v>0</v>
      </c>
      <c r="G121" s="14">
        <f t="shared" si="4"/>
        <v>0</v>
      </c>
    </row>
    <row r="122" spans="1:7" ht="12" customHeight="1" outlineLevel="3" x14ac:dyDescent="0.25">
      <c r="A122" s="10" t="s">
        <v>15</v>
      </c>
      <c r="B122" s="11">
        <v>620000</v>
      </c>
      <c r="C122" s="11">
        <v>112000</v>
      </c>
      <c r="D122" s="12"/>
      <c r="E122" s="12"/>
      <c r="F122" s="14">
        <f t="shared" si="3"/>
        <v>0</v>
      </c>
      <c r="G122" s="14">
        <f t="shared" si="4"/>
        <v>0</v>
      </c>
    </row>
    <row r="123" spans="1:7" ht="12" customHeight="1" outlineLevel="3" x14ac:dyDescent="0.25">
      <c r="A123" s="10" t="s">
        <v>26</v>
      </c>
      <c r="B123" s="11">
        <v>30752</v>
      </c>
      <c r="C123" s="11">
        <v>5118</v>
      </c>
      <c r="D123" s="12"/>
      <c r="E123" s="12"/>
      <c r="F123" s="14">
        <f t="shared" si="3"/>
        <v>0</v>
      </c>
      <c r="G123" s="14">
        <f t="shared" si="4"/>
        <v>0</v>
      </c>
    </row>
    <row r="124" spans="1:7" ht="26.25" customHeight="1" outlineLevel="3" x14ac:dyDescent="0.25">
      <c r="A124" s="10" t="s">
        <v>16</v>
      </c>
      <c r="B124" s="11">
        <v>2000</v>
      </c>
      <c r="C124" s="12"/>
      <c r="D124" s="12"/>
      <c r="E124" s="12"/>
      <c r="F124" s="14">
        <v>0</v>
      </c>
      <c r="G124" s="14">
        <f t="shared" si="4"/>
        <v>0</v>
      </c>
    </row>
    <row r="125" spans="1:7" ht="26.25" customHeight="1" outlineLevel="2" x14ac:dyDescent="0.25">
      <c r="A125" s="5" t="s">
        <v>23</v>
      </c>
      <c r="B125" s="6">
        <f>SUM(B126:B137)</f>
        <v>1171966447</v>
      </c>
      <c r="C125" s="6">
        <f t="shared" ref="C125" si="8">SUM(C126:C137)</f>
        <v>96008695</v>
      </c>
      <c r="D125" s="6">
        <v>74472130</v>
      </c>
      <c r="E125" s="6">
        <v>74472130</v>
      </c>
      <c r="F125" s="7">
        <f t="shared" si="3"/>
        <v>0.77568109846717526</v>
      </c>
      <c r="G125" s="7">
        <f t="shared" si="4"/>
        <v>6.3544592245480896E-2</v>
      </c>
    </row>
    <row r="126" spans="1:7" ht="12.75" customHeight="1" outlineLevel="3" x14ac:dyDescent="0.25">
      <c r="A126" s="10" t="s">
        <v>9</v>
      </c>
      <c r="B126" s="11">
        <v>793488100</v>
      </c>
      <c r="C126" s="11">
        <f>63155095-C94-C105-C115</f>
        <v>58453895</v>
      </c>
      <c r="D126" s="11">
        <v>61054495</v>
      </c>
      <c r="E126" s="11">
        <v>61054495</v>
      </c>
      <c r="F126" s="14">
        <f t="shared" si="3"/>
        <v>1.0444897641123829</v>
      </c>
      <c r="G126" s="14">
        <f t="shared" si="4"/>
        <v>7.6944436847887196E-2</v>
      </c>
    </row>
    <row r="127" spans="1:7" ht="12.75" customHeight="1" outlineLevel="3" x14ac:dyDescent="0.25">
      <c r="A127" s="10" t="s">
        <v>10</v>
      </c>
      <c r="B127" s="11">
        <v>174567388</v>
      </c>
      <c r="C127" s="11">
        <f>13894121-C95-C106-C116</f>
        <v>12859921</v>
      </c>
      <c r="D127" s="11">
        <v>13417635</v>
      </c>
      <c r="E127" s="11">
        <v>13417635</v>
      </c>
      <c r="F127" s="14">
        <f t="shared" si="3"/>
        <v>1.0433683846113828</v>
      </c>
      <c r="G127" s="14">
        <f t="shared" si="4"/>
        <v>7.6862208650335079E-2</v>
      </c>
    </row>
    <row r="128" spans="1:7" ht="12.75" customHeight="1" outlineLevel="3" x14ac:dyDescent="0.25">
      <c r="A128" s="10" t="s">
        <v>11</v>
      </c>
      <c r="B128" s="11">
        <v>9723672</v>
      </c>
      <c r="C128" s="12"/>
      <c r="D128" s="12"/>
      <c r="E128" s="12"/>
      <c r="F128" s="14" t="e">
        <f t="shared" si="3"/>
        <v>#DIV/0!</v>
      </c>
      <c r="G128" s="14">
        <f t="shared" si="4"/>
        <v>0</v>
      </c>
    </row>
    <row r="129" spans="1:7" ht="12.75" customHeight="1" outlineLevel="3" x14ac:dyDescent="0.25">
      <c r="A129" s="10" t="s">
        <v>29</v>
      </c>
      <c r="B129" s="11">
        <v>493221</v>
      </c>
      <c r="C129" s="12"/>
      <c r="D129" s="12"/>
      <c r="E129" s="12"/>
      <c r="F129" s="14" t="e">
        <f t="shared" si="3"/>
        <v>#DIV/0!</v>
      </c>
      <c r="G129" s="14">
        <f t="shared" si="4"/>
        <v>0</v>
      </c>
    </row>
    <row r="130" spans="1:7" ht="12.75" customHeight="1" outlineLevel="3" x14ac:dyDescent="0.25">
      <c r="A130" s="10" t="s">
        <v>12</v>
      </c>
      <c r="B130" s="11">
        <v>86653407</v>
      </c>
      <c r="C130" s="11">
        <f>6074840-C98-C109-C119</f>
        <v>5970440</v>
      </c>
      <c r="D130" s="12"/>
      <c r="E130" s="12"/>
      <c r="F130" s="14">
        <f t="shared" si="3"/>
        <v>0</v>
      </c>
      <c r="G130" s="14">
        <f t="shared" si="4"/>
        <v>0</v>
      </c>
    </row>
    <row r="131" spans="1:7" ht="12.75" customHeight="1" outlineLevel="3" x14ac:dyDescent="0.25">
      <c r="A131" s="10" t="s">
        <v>13</v>
      </c>
      <c r="B131" s="11">
        <v>67195412</v>
      </c>
      <c r="C131" s="11">
        <f>16293114-C99-C110-C120</f>
        <v>15175346</v>
      </c>
      <c r="D131" s="12"/>
      <c r="E131" s="12"/>
      <c r="F131" s="14">
        <f t="shared" si="3"/>
        <v>0</v>
      </c>
      <c r="G131" s="14">
        <f t="shared" si="4"/>
        <v>0</v>
      </c>
    </row>
    <row r="132" spans="1:7" ht="12.75" customHeight="1" outlineLevel="3" x14ac:dyDescent="0.25">
      <c r="A132" s="10" t="s">
        <v>14</v>
      </c>
      <c r="B132" s="11">
        <v>8230793</v>
      </c>
      <c r="C132" s="11">
        <f>693291-C100-C111-C121</f>
        <v>644577</v>
      </c>
      <c r="D132" s="12"/>
      <c r="E132" s="12"/>
      <c r="F132" s="14">
        <f t="shared" si="3"/>
        <v>0</v>
      </c>
      <c r="G132" s="14">
        <f t="shared" si="4"/>
        <v>0</v>
      </c>
    </row>
    <row r="133" spans="1:7" ht="12.75" customHeight="1" outlineLevel="3" x14ac:dyDescent="0.25">
      <c r="A133" s="10" t="s">
        <v>15</v>
      </c>
      <c r="B133" s="11">
        <v>27175646</v>
      </c>
      <c r="C133" s="11">
        <f>3110890-C101-C112-C122</f>
        <v>2797890</v>
      </c>
      <c r="D133" s="12"/>
      <c r="E133" s="12"/>
      <c r="F133" s="14">
        <f t="shared" si="3"/>
        <v>0</v>
      </c>
      <c r="G133" s="14">
        <f t="shared" si="4"/>
        <v>0</v>
      </c>
    </row>
    <row r="134" spans="1:7" ht="12.75" customHeight="1" outlineLevel="3" x14ac:dyDescent="0.25">
      <c r="A134" s="10" t="s">
        <v>32</v>
      </c>
      <c r="B134" s="11">
        <v>306700</v>
      </c>
      <c r="C134" s="11">
        <f>31504</f>
        <v>31504</v>
      </c>
      <c r="D134" s="12"/>
      <c r="E134" s="12"/>
      <c r="F134" s="14">
        <f t="shared" si="3"/>
        <v>0</v>
      </c>
      <c r="G134" s="14">
        <f t="shared" si="4"/>
        <v>0</v>
      </c>
    </row>
    <row r="135" spans="1:7" ht="12.75" customHeight="1" outlineLevel="3" x14ac:dyDescent="0.25">
      <c r="A135" s="10" t="s">
        <v>26</v>
      </c>
      <c r="B135" s="11">
        <v>1496108</v>
      </c>
      <c r="C135" s="11">
        <f>87306-C123-C113-C102</f>
        <v>75122</v>
      </c>
      <c r="D135" s="12"/>
      <c r="E135" s="12"/>
      <c r="F135" s="14">
        <f t="shared" ref="F135:F182" si="9">D135/C135</f>
        <v>0</v>
      </c>
      <c r="G135" s="14">
        <f t="shared" ref="G135:G198" si="10">D135/B135</f>
        <v>0</v>
      </c>
    </row>
    <row r="136" spans="1:7" ht="25.5" customHeight="1" outlineLevel="3" x14ac:dyDescent="0.25">
      <c r="A136" s="10" t="s">
        <v>16</v>
      </c>
      <c r="B136" s="11">
        <v>236000</v>
      </c>
      <c r="C136" s="29"/>
      <c r="D136" s="12"/>
      <c r="E136" s="12"/>
      <c r="F136" s="14" t="e">
        <f t="shared" si="9"/>
        <v>#DIV/0!</v>
      </c>
      <c r="G136" s="14">
        <f t="shared" si="10"/>
        <v>0</v>
      </c>
    </row>
    <row r="137" spans="1:7" ht="15" customHeight="1" outlineLevel="3" x14ac:dyDescent="0.25">
      <c r="A137" s="10" t="s">
        <v>56</v>
      </c>
      <c r="B137" s="11">
        <v>2400000</v>
      </c>
      <c r="C137" s="12"/>
      <c r="D137" s="12"/>
      <c r="E137" s="12"/>
      <c r="F137" s="14">
        <v>0</v>
      </c>
      <c r="G137" s="14">
        <f t="shared" si="10"/>
        <v>0</v>
      </c>
    </row>
    <row r="138" spans="1:7" s="18" customFormat="1" ht="27.75" customHeight="1" outlineLevel="1" x14ac:dyDescent="0.2">
      <c r="A138" s="28" t="s">
        <v>66</v>
      </c>
      <c r="B138" s="22">
        <f>B139+B150+B161+B173+B185</f>
        <v>1297769726</v>
      </c>
      <c r="C138" s="22">
        <f t="shared" ref="C138:E138" si="11">C139+C150+C161+C173+C185</f>
        <v>104217261</v>
      </c>
      <c r="D138" s="22">
        <f t="shared" si="11"/>
        <v>72789855.319999993</v>
      </c>
      <c r="E138" s="22">
        <f t="shared" si="11"/>
        <v>72789855.319999993</v>
      </c>
      <c r="F138" s="23">
        <f t="shared" si="9"/>
        <v>0.6984433732143468</v>
      </c>
      <c r="G138" s="23">
        <f t="shared" si="10"/>
        <v>5.6088421436947582E-2</v>
      </c>
    </row>
    <row r="139" spans="1:7" ht="27.75" customHeight="1" outlineLevel="2" x14ac:dyDescent="0.25">
      <c r="A139" s="5" t="s">
        <v>28</v>
      </c>
      <c r="B139" s="6">
        <v>44547010</v>
      </c>
      <c r="C139" s="6">
        <v>3864500</v>
      </c>
      <c r="D139" s="6">
        <v>3050000</v>
      </c>
      <c r="E139" s="6">
        <v>3050000</v>
      </c>
      <c r="F139" s="7">
        <f t="shared" si="9"/>
        <v>0.78923534739293566</v>
      </c>
      <c r="G139" s="7">
        <f t="shared" si="10"/>
        <v>6.8466996999349675E-2</v>
      </c>
    </row>
    <row r="140" spans="1:7" ht="14.25" customHeight="1" outlineLevel="3" x14ac:dyDescent="0.25">
      <c r="A140" s="10" t="s">
        <v>9</v>
      </c>
      <c r="B140" s="11">
        <v>30642200</v>
      </c>
      <c r="C140" s="11">
        <v>2500000</v>
      </c>
      <c r="D140" s="11">
        <v>2500000</v>
      </c>
      <c r="E140" s="11">
        <v>2500000</v>
      </c>
      <c r="F140" s="14">
        <f t="shared" si="9"/>
        <v>1</v>
      </c>
      <c r="G140" s="14">
        <f t="shared" si="10"/>
        <v>8.1586831232744392E-2</v>
      </c>
    </row>
    <row r="141" spans="1:7" ht="14.25" customHeight="1" outlineLevel="3" x14ac:dyDescent="0.25">
      <c r="A141" s="10" t="s">
        <v>10</v>
      </c>
      <c r="B141" s="11">
        <v>6741284</v>
      </c>
      <c r="C141" s="11">
        <v>550000</v>
      </c>
      <c r="D141" s="11">
        <v>550000</v>
      </c>
      <c r="E141" s="11">
        <v>550000</v>
      </c>
      <c r="F141" s="14">
        <f t="shared" si="9"/>
        <v>1</v>
      </c>
      <c r="G141" s="14">
        <f t="shared" si="10"/>
        <v>8.1586831232744392E-2</v>
      </c>
    </row>
    <row r="142" spans="1:7" ht="14.25" customHeight="1" outlineLevel="3" x14ac:dyDescent="0.25">
      <c r="A142" s="10" t="s">
        <v>11</v>
      </c>
      <c r="B142" s="11">
        <v>700000</v>
      </c>
      <c r="C142" s="12"/>
      <c r="D142" s="12"/>
      <c r="E142" s="12"/>
      <c r="F142" s="14">
        <v>0</v>
      </c>
      <c r="G142" s="14">
        <f t="shared" si="10"/>
        <v>0</v>
      </c>
    </row>
    <row r="143" spans="1:7" ht="14.25" customHeight="1" outlineLevel="3" x14ac:dyDescent="0.25">
      <c r="A143" s="10" t="s">
        <v>29</v>
      </c>
      <c r="B143" s="11">
        <v>33000</v>
      </c>
      <c r="C143" s="12"/>
      <c r="D143" s="12"/>
      <c r="E143" s="12"/>
      <c r="F143" s="14">
        <v>0</v>
      </c>
      <c r="G143" s="14">
        <f t="shared" si="10"/>
        <v>0</v>
      </c>
    </row>
    <row r="144" spans="1:7" ht="14.25" customHeight="1" outlineLevel="3" x14ac:dyDescent="0.25">
      <c r="A144" s="10" t="s">
        <v>12</v>
      </c>
      <c r="B144" s="11">
        <v>2200000</v>
      </c>
      <c r="C144" s="11">
        <v>100000</v>
      </c>
      <c r="D144" s="12"/>
      <c r="E144" s="12"/>
      <c r="F144" s="14">
        <f t="shared" si="9"/>
        <v>0</v>
      </c>
      <c r="G144" s="14">
        <f t="shared" si="10"/>
        <v>0</v>
      </c>
    </row>
    <row r="145" spans="1:7" ht="14.25" customHeight="1" outlineLevel="3" x14ac:dyDescent="0.25">
      <c r="A145" s="10" t="s">
        <v>13</v>
      </c>
      <c r="B145" s="11">
        <v>2200000</v>
      </c>
      <c r="C145" s="11">
        <v>500000</v>
      </c>
      <c r="D145" s="12"/>
      <c r="E145" s="12"/>
      <c r="F145" s="14">
        <f t="shared" si="9"/>
        <v>0</v>
      </c>
      <c r="G145" s="14">
        <f t="shared" si="10"/>
        <v>0</v>
      </c>
    </row>
    <row r="146" spans="1:7" ht="14.25" customHeight="1" outlineLevel="3" x14ac:dyDescent="0.25">
      <c r="A146" s="10" t="s">
        <v>14</v>
      </c>
      <c r="B146" s="11">
        <v>130650</v>
      </c>
      <c r="C146" s="11">
        <v>12000</v>
      </c>
      <c r="D146" s="12"/>
      <c r="E146" s="12"/>
      <c r="F146" s="14">
        <f t="shared" si="9"/>
        <v>0</v>
      </c>
      <c r="G146" s="14">
        <f t="shared" si="10"/>
        <v>0</v>
      </c>
    </row>
    <row r="147" spans="1:7" ht="14.25" customHeight="1" outlineLevel="3" x14ac:dyDescent="0.25">
      <c r="A147" s="10" t="s">
        <v>15</v>
      </c>
      <c r="B147" s="11">
        <v>1874440</v>
      </c>
      <c r="C147" s="11">
        <v>200000</v>
      </c>
      <c r="D147" s="12"/>
      <c r="E147" s="12"/>
      <c r="F147" s="14">
        <f t="shared" si="9"/>
        <v>0</v>
      </c>
      <c r="G147" s="14">
        <f t="shared" si="10"/>
        <v>0</v>
      </c>
    </row>
    <row r="148" spans="1:7" ht="14.25" customHeight="1" outlineLevel="3" x14ac:dyDescent="0.25">
      <c r="A148" s="10" t="s">
        <v>26</v>
      </c>
      <c r="B148" s="11">
        <v>22436</v>
      </c>
      <c r="C148" s="11">
        <v>2500</v>
      </c>
      <c r="D148" s="12"/>
      <c r="E148" s="12"/>
      <c r="F148" s="14">
        <f t="shared" si="9"/>
        <v>0</v>
      </c>
      <c r="G148" s="14">
        <f t="shared" si="10"/>
        <v>0</v>
      </c>
    </row>
    <row r="149" spans="1:7" ht="24.75" customHeight="1" outlineLevel="3" x14ac:dyDescent="0.25">
      <c r="A149" s="10" t="s">
        <v>16</v>
      </c>
      <c r="B149" s="11">
        <v>3000</v>
      </c>
      <c r="C149" s="12"/>
      <c r="D149" s="12"/>
      <c r="E149" s="12"/>
      <c r="F149" s="14">
        <v>0</v>
      </c>
      <c r="G149" s="14">
        <f t="shared" si="10"/>
        <v>0</v>
      </c>
    </row>
    <row r="150" spans="1:7" ht="14.25" customHeight="1" outlineLevel="2" x14ac:dyDescent="0.25">
      <c r="A150" s="5" t="s">
        <v>33</v>
      </c>
      <c r="B150" s="6">
        <v>57865002</v>
      </c>
      <c r="C150" s="6">
        <v>4581301</v>
      </c>
      <c r="D150" s="6">
        <v>3871583.72</v>
      </c>
      <c r="E150" s="6">
        <v>3871583.72</v>
      </c>
      <c r="F150" s="7">
        <f t="shared" si="9"/>
        <v>0.84508390083952134</v>
      </c>
      <c r="G150" s="7">
        <f t="shared" si="10"/>
        <v>6.6907173354975438E-2</v>
      </c>
    </row>
    <row r="151" spans="1:7" ht="13.5" customHeight="1" outlineLevel="3" x14ac:dyDescent="0.25">
      <c r="A151" s="10" t="s">
        <v>9</v>
      </c>
      <c r="B151" s="11">
        <v>38915400</v>
      </c>
      <c r="C151" s="11">
        <v>3150000</v>
      </c>
      <c r="D151" s="11">
        <v>3146421.22</v>
      </c>
      <c r="E151" s="11">
        <v>3146421.22</v>
      </c>
      <c r="F151" s="14">
        <f t="shared" si="9"/>
        <v>0.99886387936507948</v>
      </c>
      <c r="G151" s="14">
        <f t="shared" si="10"/>
        <v>8.0852855681812344E-2</v>
      </c>
    </row>
    <row r="152" spans="1:7" ht="13.5" customHeight="1" outlineLevel="3" x14ac:dyDescent="0.25">
      <c r="A152" s="10" t="s">
        <v>10</v>
      </c>
      <c r="B152" s="11">
        <v>8561388</v>
      </c>
      <c r="C152" s="11">
        <v>693000</v>
      </c>
      <c r="D152" s="11">
        <v>688986.57</v>
      </c>
      <c r="E152" s="11">
        <v>688986.57</v>
      </c>
      <c r="F152" s="14">
        <f t="shared" si="9"/>
        <v>0.99420861471861466</v>
      </c>
      <c r="G152" s="14">
        <f t="shared" si="10"/>
        <v>8.0476036128721173E-2</v>
      </c>
    </row>
    <row r="153" spans="1:7" ht="13.5" customHeight="1" outlineLevel="3" x14ac:dyDescent="0.25">
      <c r="A153" s="10" t="s">
        <v>11</v>
      </c>
      <c r="B153" s="11">
        <v>1300000</v>
      </c>
      <c r="C153" s="12"/>
      <c r="D153" s="12"/>
      <c r="E153" s="12"/>
      <c r="F153" s="14">
        <v>0</v>
      </c>
      <c r="G153" s="14">
        <f t="shared" si="10"/>
        <v>0</v>
      </c>
    </row>
    <row r="154" spans="1:7" ht="13.5" customHeight="1" outlineLevel="3" x14ac:dyDescent="0.25">
      <c r="A154" s="10" t="s">
        <v>29</v>
      </c>
      <c r="B154" s="11">
        <v>43700</v>
      </c>
      <c r="C154" s="12"/>
      <c r="D154" s="12"/>
      <c r="E154" s="12"/>
      <c r="F154" s="14">
        <v>0</v>
      </c>
      <c r="G154" s="14">
        <f t="shared" si="10"/>
        <v>0</v>
      </c>
    </row>
    <row r="155" spans="1:7" ht="13.5" customHeight="1" outlineLevel="3" x14ac:dyDescent="0.25">
      <c r="A155" s="10" t="s">
        <v>12</v>
      </c>
      <c r="B155" s="11">
        <v>3800000</v>
      </c>
      <c r="C155" s="11">
        <v>120475</v>
      </c>
      <c r="D155" s="12"/>
      <c r="E155" s="12"/>
      <c r="F155" s="14">
        <f t="shared" si="9"/>
        <v>0</v>
      </c>
      <c r="G155" s="14">
        <f t="shared" si="10"/>
        <v>0</v>
      </c>
    </row>
    <row r="156" spans="1:7" ht="13.5" customHeight="1" outlineLevel="3" x14ac:dyDescent="0.25">
      <c r="A156" s="10" t="s">
        <v>13</v>
      </c>
      <c r="B156" s="11">
        <v>1909463</v>
      </c>
      <c r="C156" s="11">
        <v>268183</v>
      </c>
      <c r="D156" s="12"/>
      <c r="E156" s="12"/>
      <c r="F156" s="14">
        <f t="shared" si="9"/>
        <v>0</v>
      </c>
      <c r="G156" s="14">
        <f t="shared" si="10"/>
        <v>0</v>
      </c>
    </row>
    <row r="157" spans="1:7" ht="13.5" customHeight="1" outlineLevel="3" x14ac:dyDescent="0.25">
      <c r="A157" s="10" t="s">
        <v>14</v>
      </c>
      <c r="B157" s="11">
        <v>413313</v>
      </c>
      <c r="C157" s="11">
        <v>45473</v>
      </c>
      <c r="D157" s="11">
        <v>36175.93</v>
      </c>
      <c r="E157" s="11">
        <v>36175.93</v>
      </c>
      <c r="F157" s="14">
        <f t="shared" si="9"/>
        <v>0.79554746772810236</v>
      </c>
      <c r="G157" s="14">
        <f t="shared" si="10"/>
        <v>8.7526717040112459E-2</v>
      </c>
    </row>
    <row r="158" spans="1:7" ht="13.5" customHeight="1" outlineLevel="3" x14ac:dyDescent="0.25">
      <c r="A158" s="10" t="s">
        <v>15</v>
      </c>
      <c r="B158" s="11">
        <v>2873700</v>
      </c>
      <c r="C158" s="11">
        <v>300000</v>
      </c>
      <c r="D158" s="12"/>
      <c r="E158" s="12"/>
      <c r="F158" s="14">
        <f t="shared" si="9"/>
        <v>0</v>
      </c>
      <c r="G158" s="14">
        <f t="shared" si="10"/>
        <v>0</v>
      </c>
    </row>
    <row r="159" spans="1:7" ht="13.5" customHeight="1" outlineLevel="3" x14ac:dyDescent="0.25">
      <c r="A159" s="10" t="s">
        <v>26</v>
      </c>
      <c r="B159" s="11">
        <v>45038</v>
      </c>
      <c r="C159" s="11">
        <v>4170</v>
      </c>
      <c r="D159" s="12"/>
      <c r="E159" s="12"/>
      <c r="F159" s="14">
        <f t="shared" si="9"/>
        <v>0</v>
      </c>
      <c r="G159" s="14">
        <f t="shared" si="10"/>
        <v>0</v>
      </c>
    </row>
    <row r="160" spans="1:7" ht="27" customHeight="1" outlineLevel="3" x14ac:dyDescent="0.25">
      <c r="A160" s="10" t="s">
        <v>16</v>
      </c>
      <c r="B160" s="11">
        <v>3000</v>
      </c>
      <c r="C160" s="12"/>
      <c r="D160" s="12"/>
      <c r="E160" s="12"/>
      <c r="F160" s="14">
        <v>0</v>
      </c>
      <c r="G160" s="14">
        <f t="shared" si="10"/>
        <v>0</v>
      </c>
    </row>
    <row r="161" spans="1:7" ht="14.25" customHeight="1" outlineLevel="2" x14ac:dyDescent="0.25">
      <c r="A161" s="5" t="s">
        <v>30</v>
      </c>
      <c r="B161" s="6">
        <v>59066209</v>
      </c>
      <c r="C161" s="6">
        <v>5024979</v>
      </c>
      <c r="D161" s="6">
        <v>3373024.78</v>
      </c>
      <c r="E161" s="6">
        <v>3373024.78</v>
      </c>
      <c r="F161" s="7">
        <f t="shared" si="9"/>
        <v>0.67125151766803404</v>
      </c>
      <c r="G161" s="7">
        <f t="shared" si="10"/>
        <v>5.7105828139402001E-2</v>
      </c>
    </row>
    <row r="162" spans="1:7" ht="14.25" customHeight="1" outlineLevel="3" x14ac:dyDescent="0.25">
      <c r="A162" s="10" t="s">
        <v>9</v>
      </c>
      <c r="B162" s="11">
        <v>34579200</v>
      </c>
      <c r="C162" s="11">
        <v>2851670</v>
      </c>
      <c r="D162" s="11">
        <v>2746741.67</v>
      </c>
      <c r="E162" s="11">
        <v>2746741.67</v>
      </c>
      <c r="F162" s="14">
        <f t="shared" si="9"/>
        <v>0.96320460291688725</v>
      </c>
      <c r="G162" s="14">
        <f t="shared" si="10"/>
        <v>7.9433349238848788E-2</v>
      </c>
    </row>
    <row r="163" spans="1:7" ht="14.25" customHeight="1" outlineLevel="3" x14ac:dyDescent="0.25">
      <c r="A163" s="10" t="s">
        <v>10</v>
      </c>
      <c r="B163" s="11">
        <v>7607424</v>
      </c>
      <c r="C163" s="11">
        <v>627367</v>
      </c>
      <c r="D163" s="11">
        <v>602413.24</v>
      </c>
      <c r="E163" s="11">
        <v>602413.24</v>
      </c>
      <c r="F163" s="14">
        <f t="shared" si="9"/>
        <v>0.96022462131415898</v>
      </c>
      <c r="G163" s="14">
        <f t="shared" si="10"/>
        <v>7.9187546270590409E-2</v>
      </c>
    </row>
    <row r="164" spans="1:7" ht="14.25" customHeight="1" outlineLevel="3" x14ac:dyDescent="0.25">
      <c r="A164" s="10" t="s">
        <v>11</v>
      </c>
      <c r="B164" s="11">
        <v>1227715</v>
      </c>
      <c r="C164" s="12"/>
      <c r="D164" s="12"/>
      <c r="E164" s="12"/>
      <c r="F164" s="14">
        <v>0</v>
      </c>
      <c r="G164" s="14">
        <f t="shared" si="10"/>
        <v>0</v>
      </c>
    </row>
    <row r="165" spans="1:7" ht="14.25" customHeight="1" outlineLevel="3" x14ac:dyDescent="0.25">
      <c r="A165" s="10" t="s">
        <v>29</v>
      </c>
      <c r="B165" s="11">
        <v>35213</v>
      </c>
      <c r="C165" s="12"/>
      <c r="D165" s="12"/>
      <c r="E165" s="12"/>
      <c r="F165" s="14">
        <v>0</v>
      </c>
      <c r="G165" s="14">
        <f t="shared" si="10"/>
        <v>0</v>
      </c>
    </row>
    <row r="166" spans="1:7" ht="14.25" customHeight="1" outlineLevel="3" x14ac:dyDescent="0.25">
      <c r="A166" s="10" t="s">
        <v>12</v>
      </c>
      <c r="B166" s="11">
        <v>4506338</v>
      </c>
      <c r="C166" s="11">
        <v>30000</v>
      </c>
      <c r="D166" s="12"/>
      <c r="E166" s="12"/>
      <c r="F166" s="14">
        <f t="shared" si="9"/>
        <v>0</v>
      </c>
      <c r="G166" s="14">
        <f t="shared" si="10"/>
        <v>0</v>
      </c>
    </row>
    <row r="167" spans="1:7" ht="14.25" customHeight="1" outlineLevel="3" x14ac:dyDescent="0.25">
      <c r="A167" s="10" t="s">
        <v>13</v>
      </c>
      <c r="B167" s="11">
        <v>6837562</v>
      </c>
      <c r="C167" s="11">
        <v>1139412</v>
      </c>
      <c r="D167" s="12"/>
      <c r="E167" s="12"/>
      <c r="F167" s="14">
        <f t="shared" si="9"/>
        <v>0</v>
      </c>
      <c r="G167" s="14">
        <f t="shared" si="10"/>
        <v>0</v>
      </c>
    </row>
    <row r="168" spans="1:7" ht="14.25" customHeight="1" outlineLevel="3" x14ac:dyDescent="0.25">
      <c r="A168" s="10" t="s">
        <v>14</v>
      </c>
      <c r="B168" s="11">
        <v>467219</v>
      </c>
      <c r="C168" s="11">
        <v>38410</v>
      </c>
      <c r="D168" s="11">
        <v>23869.87</v>
      </c>
      <c r="E168" s="11">
        <v>23869.87</v>
      </c>
      <c r="F168" s="14">
        <f t="shared" si="9"/>
        <v>0.62144936214527469</v>
      </c>
      <c r="G168" s="14">
        <f t="shared" si="10"/>
        <v>5.1089253647647034E-2</v>
      </c>
    </row>
    <row r="169" spans="1:7" ht="14.25" customHeight="1" outlineLevel="3" x14ac:dyDescent="0.25">
      <c r="A169" s="10" t="s">
        <v>15</v>
      </c>
      <c r="B169" s="11">
        <v>2297200</v>
      </c>
      <c r="C169" s="11">
        <v>322800</v>
      </c>
      <c r="D169" s="12"/>
      <c r="E169" s="12"/>
      <c r="F169" s="14">
        <f t="shared" si="9"/>
        <v>0</v>
      </c>
      <c r="G169" s="14">
        <f t="shared" si="10"/>
        <v>0</v>
      </c>
    </row>
    <row r="170" spans="1:7" ht="14.25" customHeight="1" outlineLevel="3" x14ac:dyDescent="0.25">
      <c r="A170" s="10" t="s">
        <v>26</v>
      </c>
      <c r="B170" s="11">
        <v>147838</v>
      </c>
      <c r="C170" s="11">
        <v>12320</v>
      </c>
      <c r="D170" s="12"/>
      <c r="E170" s="12"/>
      <c r="F170" s="14">
        <f t="shared" si="9"/>
        <v>0</v>
      </c>
      <c r="G170" s="14">
        <f t="shared" si="10"/>
        <v>0</v>
      </c>
    </row>
    <row r="171" spans="1:7" ht="14.25" customHeight="1" outlineLevel="3" x14ac:dyDescent="0.25">
      <c r="A171" s="10" t="s">
        <v>16</v>
      </c>
      <c r="B171" s="11">
        <v>3000</v>
      </c>
      <c r="C171" s="11">
        <v>3000</v>
      </c>
      <c r="D171" s="12"/>
      <c r="E171" s="12"/>
      <c r="F171" s="14">
        <f t="shared" si="9"/>
        <v>0</v>
      </c>
      <c r="G171" s="14">
        <f t="shared" si="10"/>
        <v>0</v>
      </c>
    </row>
    <row r="172" spans="1:7" ht="14.25" customHeight="1" outlineLevel="3" x14ac:dyDescent="0.25">
      <c r="A172" s="10" t="s">
        <v>56</v>
      </c>
      <c r="B172" s="11">
        <v>1357500</v>
      </c>
      <c r="C172" s="12"/>
      <c r="D172" s="12"/>
      <c r="E172" s="12"/>
      <c r="F172" s="14">
        <v>0</v>
      </c>
      <c r="G172" s="14">
        <f t="shared" si="10"/>
        <v>0</v>
      </c>
    </row>
    <row r="173" spans="1:7" ht="27" customHeight="1" outlineLevel="2" x14ac:dyDescent="0.25">
      <c r="A173" s="5" t="s">
        <v>35</v>
      </c>
      <c r="B173" s="6">
        <v>37960952</v>
      </c>
      <c r="C173" s="6">
        <v>3626498</v>
      </c>
      <c r="D173" s="6">
        <v>2470598.27</v>
      </c>
      <c r="E173" s="6">
        <v>2470598.27</v>
      </c>
      <c r="F173" s="7">
        <f t="shared" si="9"/>
        <v>0.68126282435561802</v>
      </c>
      <c r="G173" s="7">
        <f t="shared" si="10"/>
        <v>6.5082621479039829E-2</v>
      </c>
    </row>
    <row r="174" spans="1:7" ht="13.5" customHeight="1" outlineLevel="3" x14ac:dyDescent="0.25">
      <c r="A174" s="10" t="s">
        <v>9</v>
      </c>
      <c r="B174" s="11">
        <v>23773000</v>
      </c>
      <c r="C174" s="11">
        <v>2250000</v>
      </c>
      <c r="D174" s="11">
        <v>2030056.23</v>
      </c>
      <c r="E174" s="11">
        <v>2030056.23</v>
      </c>
      <c r="F174" s="14">
        <f t="shared" si="9"/>
        <v>0.90224721333333335</v>
      </c>
      <c r="G174" s="14">
        <f t="shared" si="10"/>
        <v>8.5393355066672269E-2</v>
      </c>
    </row>
    <row r="175" spans="1:7" ht="13.5" customHeight="1" outlineLevel="3" x14ac:dyDescent="0.25">
      <c r="A175" s="10" t="s">
        <v>10</v>
      </c>
      <c r="B175" s="11">
        <v>5230060</v>
      </c>
      <c r="C175" s="11">
        <v>495000</v>
      </c>
      <c r="D175" s="11">
        <v>440542.04</v>
      </c>
      <c r="E175" s="11">
        <v>440542.04</v>
      </c>
      <c r="F175" s="14">
        <f t="shared" si="9"/>
        <v>0.8899839191919191</v>
      </c>
      <c r="G175" s="14">
        <f t="shared" si="10"/>
        <v>8.423269331518185E-2</v>
      </c>
    </row>
    <row r="176" spans="1:7" ht="13.5" customHeight="1" outlineLevel="3" x14ac:dyDescent="0.25">
      <c r="A176" s="10" t="s">
        <v>11</v>
      </c>
      <c r="B176" s="11">
        <v>775580</v>
      </c>
      <c r="C176" s="12"/>
      <c r="D176" s="12"/>
      <c r="E176" s="12"/>
      <c r="F176" s="14">
        <v>0</v>
      </c>
      <c r="G176" s="14">
        <f t="shared" si="10"/>
        <v>0</v>
      </c>
    </row>
    <row r="177" spans="1:7" ht="13.5" customHeight="1" outlineLevel="3" x14ac:dyDescent="0.25">
      <c r="A177" s="10" t="s">
        <v>29</v>
      </c>
      <c r="B177" s="11">
        <v>27117</v>
      </c>
      <c r="C177" s="12"/>
      <c r="D177" s="12"/>
      <c r="E177" s="12"/>
      <c r="F177" s="14">
        <v>0</v>
      </c>
      <c r="G177" s="14">
        <f t="shared" si="10"/>
        <v>0</v>
      </c>
    </row>
    <row r="178" spans="1:7" ht="13.5" customHeight="1" outlineLevel="3" x14ac:dyDescent="0.25">
      <c r="A178" s="10" t="s">
        <v>12</v>
      </c>
      <c r="B178" s="11">
        <v>2846815</v>
      </c>
      <c r="C178" s="11">
        <v>400000</v>
      </c>
      <c r="D178" s="12"/>
      <c r="E178" s="12"/>
      <c r="F178" s="14">
        <f t="shared" si="9"/>
        <v>0</v>
      </c>
      <c r="G178" s="14">
        <f t="shared" si="10"/>
        <v>0</v>
      </c>
    </row>
    <row r="179" spans="1:7" ht="13.5" customHeight="1" outlineLevel="3" x14ac:dyDescent="0.25">
      <c r="A179" s="10" t="s">
        <v>13</v>
      </c>
      <c r="B179" s="11">
        <v>2361817</v>
      </c>
      <c r="C179" s="11">
        <v>364729</v>
      </c>
      <c r="D179" s="12"/>
      <c r="E179" s="12"/>
      <c r="F179" s="14">
        <f t="shared" si="9"/>
        <v>0</v>
      </c>
      <c r="G179" s="14">
        <f t="shared" si="10"/>
        <v>0</v>
      </c>
    </row>
    <row r="180" spans="1:7" ht="13.5" customHeight="1" outlineLevel="3" x14ac:dyDescent="0.25">
      <c r="A180" s="10" t="s">
        <v>14</v>
      </c>
      <c r="B180" s="11">
        <v>197588</v>
      </c>
      <c r="C180" s="11">
        <v>14559</v>
      </c>
      <c r="D180" s="12"/>
      <c r="E180" s="12"/>
      <c r="F180" s="14">
        <f t="shared" si="9"/>
        <v>0</v>
      </c>
      <c r="G180" s="14">
        <f t="shared" si="10"/>
        <v>0</v>
      </c>
    </row>
    <row r="181" spans="1:7" ht="13.5" customHeight="1" outlineLevel="3" x14ac:dyDescent="0.25">
      <c r="A181" s="10" t="s">
        <v>15</v>
      </c>
      <c r="B181" s="11">
        <v>1326520</v>
      </c>
      <c r="C181" s="11">
        <v>96910</v>
      </c>
      <c r="D181" s="12"/>
      <c r="E181" s="12"/>
      <c r="F181" s="14">
        <f t="shared" si="9"/>
        <v>0</v>
      </c>
      <c r="G181" s="14">
        <f t="shared" si="10"/>
        <v>0</v>
      </c>
    </row>
    <row r="182" spans="1:7" ht="13.5" customHeight="1" outlineLevel="3" x14ac:dyDescent="0.25">
      <c r="A182" s="10" t="s">
        <v>26</v>
      </c>
      <c r="B182" s="11">
        <v>61955</v>
      </c>
      <c r="C182" s="11">
        <v>5300</v>
      </c>
      <c r="D182" s="12"/>
      <c r="E182" s="12"/>
      <c r="F182" s="14">
        <f t="shared" si="9"/>
        <v>0</v>
      </c>
      <c r="G182" s="14">
        <f t="shared" si="10"/>
        <v>0</v>
      </c>
    </row>
    <row r="183" spans="1:7" ht="25.5" customHeight="1" outlineLevel="3" x14ac:dyDescent="0.25">
      <c r="A183" s="10" t="s">
        <v>16</v>
      </c>
      <c r="B183" s="11">
        <v>3000</v>
      </c>
      <c r="C183" s="12"/>
      <c r="D183" s="12"/>
      <c r="E183" s="12"/>
      <c r="F183" s="14">
        <v>0</v>
      </c>
      <c r="G183" s="14">
        <f t="shared" si="10"/>
        <v>0</v>
      </c>
    </row>
    <row r="184" spans="1:7" ht="14.25" customHeight="1" outlineLevel="3" x14ac:dyDescent="0.25">
      <c r="A184" s="10" t="s">
        <v>56</v>
      </c>
      <c r="B184" s="11">
        <v>1357500</v>
      </c>
      <c r="C184" s="12"/>
      <c r="D184" s="12"/>
      <c r="E184" s="12"/>
      <c r="F184" s="14">
        <v>0</v>
      </c>
      <c r="G184" s="14">
        <f t="shared" si="10"/>
        <v>0</v>
      </c>
    </row>
    <row r="185" spans="1:7" ht="27" customHeight="1" outlineLevel="2" x14ac:dyDescent="0.25">
      <c r="A185" s="5" t="s">
        <v>23</v>
      </c>
      <c r="B185" s="6">
        <f>SUM(B186:B197)</f>
        <v>1098330553</v>
      </c>
      <c r="C185" s="6">
        <f t="shared" ref="C185:E185" si="12">SUM(C186:C197)</f>
        <v>87119983</v>
      </c>
      <c r="D185" s="6">
        <f t="shared" si="12"/>
        <v>60024648.549999997</v>
      </c>
      <c r="E185" s="6">
        <f t="shared" si="12"/>
        <v>60024648.549999997</v>
      </c>
      <c r="F185" s="7">
        <f t="shared" ref="F185:F248" si="13">D185/C185</f>
        <v>0.68898829502755987</v>
      </c>
      <c r="G185" s="7">
        <f t="shared" si="10"/>
        <v>5.4650804701779063E-2</v>
      </c>
    </row>
    <row r="186" spans="1:7" ht="13.5" customHeight="1" outlineLevel="3" x14ac:dyDescent="0.25">
      <c r="A186" s="10" t="s">
        <v>9</v>
      </c>
      <c r="B186" s="11">
        <v>673381519</v>
      </c>
      <c r="C186" s="30">
        <f>60831616-C140-C151-C162-C174</f>
        <v>50079946</v>
      </c>
      <c r="D186" s="11">
        <v>49353234.75</v>
      </c>
      <c r="E186" s="11">
        <v>49353234.75</v>
      </c>
      <c r="F186" s="14">
        <f t="shared" si="13"/>
        <v>0.98548897696495119</v>
      </c>
      <c r="G186" s="14">
        <f t="shared" si="10"/>
        <v>7.3291638331998837E-2</v>
      </c>
    </row>
    <row r="187" spans="1:7" ht="13.5" customHeight="1" outlineLevel="3" x14ac:dyDescent="0.25">
      <c r="A187" s="10" t="s">
        <v>10</v>
      </c>
      <c r="B187" s="11">
        <v>148143934</v>
      </c>
      <c r="C187" s="30">
        <f>13382955-C141-C152-C163-C175</f>
        <v>11017588</v>
      </c>
      <c r="D187" s="11">
        <v>10671413.800000001</v>
      </c>
      <c r="E187" s="11">
        <v>10671413.800000001</v>
      </c>
      <c r="F187" s="14">
        <f t="shared" si="13"/>
        <v>0.96857985613548092</v>
      </c>
      <c r="G187" s="14">
        <f t="shared" si="10"/>
        <v>7.2034092195769561E-2</v>
      </c>
    </row>
    <row r="188" spans="1:7" ht="13.5" customHeight="1" outlineLevel="3" x14ac:dyDescent="0.25">
      <c r="A188" s="10" t="s">
        <v>11</v>
      </c>
      <c r="B188" s="11">
        <v>26149108</v>
      </c>
      <c r="C188" s="31"/>
      <c r="D188" s="12"/>
      <c r="E188" s="12"/>
      <c r="F188" s="14">
        <v>0</v>
      </c>
      <c r="G188" s="14">
        <f t="shared" si="10"/>
        <v>0</v>
      </c>
    </row>
    <row r="189" spans="1:7" ht="13.5" customHeight="1" outlineLevel="3" x14ac:dyDescent="0.25">
      <c r="A189" s="10" t="s">
        <v>29</v>
      </c>
      <c r="B189" s="11">
        <v>652970</v>
      </c>
      <c r="C189" s="31"/>
      <c r="D189" s="12"/>
      <c r="E189" s="12"/>
      <c r="F189" s="14">
        <v>0</v>
      </c>
      <c r="G189" s="14">
        <f t="shared" si="10"/>
        <v>0</v>
      </c>
    </row>
    <row r="190" spans="1:7" ht="13.5" customHeight="1" outlineLevel="3" x14ac:dyDescent="0.25">
      <c r="A190" s="10" t="s">
        <v>34</v>
      </c>
      <c r="B190" s="11">
        <v>19869128</v>
      </c>
      <c r="C190" s="30">
        <v>3310538</v>
      </c>
      <c r="D190" s="12"/>
      <c r="E190" s="12"/>
      <c r="F190" s="14">
        <f t="shared" si="13"/>
        <v>0</v>
      </c>
      <c r="G190" s="14">
        <f t="shared" si="10"/>
        <v>0</v>
      </c>
    </row>
    <row r="191" spans="1:7" ht="13.5" customHeight="1" outlineLevel="3" x14ac:dyDescent="0.25">
      <c r="A191" s="10" t="s">
        <v>12</v>
      </c>
      <c r="B191" s="11">
        <v>118237657</v>
      </c>
      <c r="C191" s="30">
        <f>5864462-C144-C155-C166-C178</f>
        <v>5213987</v>
      </c>
      <c r="D191" s="12"/>
      <c r="E191" s="12"/>
      <c r="F191" s="14">
        <f t="shared" si="13"/>
        <v>0</v>
      </c>
      <c r="G191" s="14">
        <f t="shared" si="10"/>
        <v>0</v>
      </c>
    </row>
    <row r="192" spans="1:7" ht="13.5" customHeight="1" outlineLevel="3" x14ac:dyDescent="0.25">
      <c r="A192" s="10" t="s">
        <v>13</v>
      </c>
      <c r="B192" s="11">
        <v>78095761</v>
      </c>
      <c r="C192" s="30">
        <f>15971578-C145-C156-C167-C179</f>
        <v>13699254</v>
      </c>
      <c r="D192" s="12"/>
      <c r="E192" s="12"/>
      <c r="F192" s="14">
        <f t="shared" si="13"/>
        <v>0</v>
      </c>
      <c r="G192" s="14">
        <f t="shared" si="10"/>
        <v>0</v>
      </c>
    </row>
    <row r="193" spans="1:7" ht="13.5" customHeight="1" outlineLevel="3" x14ac:dyDescent="0.25">
      <c r="A193" s="10" t="s">
        <v>14</v>
      </c>
      <c r="B193" s="11">
        <v>5425963</v>
      </c>
      <c r="C193" s="30">
        <f>599104-C180-C168-C157-C146</f>
        <v>488662</v>
      </c>
      <c r="D193" s="12"/>
      <c r="E193" s="12"/>
      <c r="F193" s="14">
        <f t="shared" si="13"/>
        <v>0</v>
      </c>
      <c r="G193" s="14">
        <f t="shared" si="10"/>
        <v>0</v>
      </c>
    </row>
    <row r="194" spans="1:7" ht="13.5" customHeight="1" outlineLevel="3" x14ac:dyDescent="0.25">
      <c r="A194" s="10" t="s">
        <v>15</v>
      </c>
      <c r="B194" s="11">
        <v>27187250</v>
      </c>
      <c r="C194" s="30">
        <f>4176360-C181-C169-C158-C147</f>
        <v>3256650</v>
      </c>
      <c r="D194" s="12"/>
      <c r="E194" s="12"/>
      <c r="F194" s="14">
        <f t="shared" si="13"/>
        <v>0</v>
      </c>
      <c r="G194" s="14">
        <f t="shared" si="10"/>
        <v>0</v>
      </c>
    </row>
    <row r="195" spans="1:7" ht="13.5" customHeight="1" outlineLevel="3" x14ac:dyDescent="0.25">
      <c r="A195" s="10" t="s">
        <v>32</v>
      </c>
      <c r="B195" s="11">
        <v>1500</v>
      </c>
      <c r="C195" s="32">
        <v>216</v>
      </c>
      <c r="D195" s="12"/>
      <c r="E195" s="12"/>
      <c r="F195" s="14">
        <f t="shared" si="13"/>
        <v>0</v>
      </c>
      <c r="G195" s="14">
        <f t="shared" si="10"/>
        <v>0</v>
      </c>
    </row>
    <row r="196" spans="1:7" ht="13.5" customHeight="1" outlineLevel="3" x14ac:dyDescent="0.25">
      <c r="A196" s="10" t="s">
        <v>26</v>
      </c>
      <c r="B196" s="11">
        <v>1047763</v>
      </c>
      <c r="C196" s="30">
        <f>77432-C182-C170-C159-C148</f>
        <v>53142</v>
      </c>
      <c r="D196" s="12"/>
      <c r="E196" s="12"/>
      <c r="F196" s="14">
        <f t="shared" si="13"/>
        <v>0</v>
      </c>
      <c r="G196" s="14">
        <f t="shared" si="10"/>
        <v>0</v>
      </c>
    </row>
    <row r="197" spans="1:7" ht="27" customHeight="1" outlineLevel="3" x14ac:dyDescent="0.25">
      <c r="A197" s="10" t="s">
        <v>16</v>
      </c>
      <c r="B197" s="11">
        <v>138000</v>
      </c>
      <c r="C197" s="30">
        <f>3000-C171</f>
        <v>0</v>
      </c>
      <c r="D197" s="12"/>
      <c r="E197" s="12"/>
      <c r="F197" s="14">
        <v>0</v>
      </c>
      <c r="G197" s="14">
        <f t="shared" si="10"/>
        <v>0</v>
      </c>
    </row>
    <row r="198" spans="1:7" s="18" customFormat="1" ht="62.25" customHeight="1" outlineLevel="1" x14ac:dyDescent="0.2">
      <c r="A198" s="28" t="s">
        <v>67</v>
      </c>
      <c r="B198" s="22">
        <v>64716290</v>
      </c>
      <c r="C198" s="33">
        <f>C199</f>
        <v>4950290</v>
      </c>
      <c r="D198" s="22">
        <v>2950269.97</v>
      </c>
      <c r="E198" s="22">
        <v>2950269.97</v>
      </c>
      <c r="F198" s="23">
        <f t="shared" si="13"/>
        <v>0.59597921939926757</v>
      </c>
      <c r="G198" s="23">
        <f t="shared" si="10"/>
        <v>4.5587748772372462E-2</v>
      </c>
    </row>
    <row r="199" spans="1:7" ht="26.25" customHeight="1" outlineLevel="2" x14ac:dyDescent="0.25">
      <c r="A199" s="5" t="s">
        <v>23</v>
      </c>
      <c r="B199" s="6">
        <v>64716290</v>
      </c>
      <c r="C199" s="34">
        <f>SUM(C200:C212)</f>
        <v>4950290</v>
      </c>
      <c r="D199" s="6">
        <v>2950269.97</v>
      </c>
      <c r="E199" s="6">
        <v>2950269.97</v>
      </c>
      <c r="F199" s="7">
        <f t="shared" si="13"/>
        <v>0.59597921939926757</v>
      </c>
      <c r="G199" s="7">
        <f t="shared" ref="G199:G262" si="14">D199/B199</f>
        <v>4.5587748772372462E-2</v>
      </c>
    </row>
    <row r="200" spans="1:7" ht="14.25" customHeight="1" outlineLevel="3" x14ac:dyDescent="0.25">
      <c r="A200" s="10" t="s">
        <v>9</v>
      </c>
      <c r="B200" s="11">
        <v>36926577</v>
      </c>
      <c r="C200" s="30">
        <v>2637342</v>
      </c>
      <c r="D200" s="11">
        <v>2488288.29</v>
      </c>
      <c r="E200" s="11">
        <v>2488288.29</v>
      </c>
      <c r="F200" s="14">
        <f t="shared" si="13"/>
        <v>0.94348335938228722</v>
      </c>
      <c r="G200" s="14">
        <f t="shared" si="14"/>
        <v>6.7384753534019681E-2</v>
      </c>
    </row>
    <row r="201" spans="1:7" ht="14.25" customHeight="1" outlineLevel="3" x14ac:dyDescent="0.25">
      <c r="A201" s="10" t="s">
        <v>10</v>
      </c>
      <c r="B201" s="11">
        <v>8123847</v>
      </c>
      <c r="C201" s="30">
        <v>580216</v>
      </c>
      <c r="D201" s="11">
        <v>461981.68</v>
      </c>
      <c r="E201" s="11">
        <v>461981.68</v>
      </c>
      <c r="F201" s="14">
        <f t="shared" si="13"/>
        <v>0.7962236132750562</v>
      </c>
      <c r="G201" s="14">
        <f t="shared" si="14"/>
        <v>5.6867353607225737E-2</v>
      </c>
    </row>
    <row r="202" spans="1:7" ht="14.25" customHeight="1" outlineLevel="3" x14ac:dyDescent="0.25">
      <c r="A202" s="10" t="s">
        <v>11</v>
      </c>
      <c r="B202" s="11">
        <v>2000000</v>
      </c>
      <c r="C202" s="31"/>
      <c r="D202" s="12"/>
      <c r="E202" s="12"/>
      <c r="F202" s="14">
        <v>0</v>
      </c>
      <c r="G202" s="14">
        <f t="shared" si="14"/>
        <v>0</v>
      </c>
    </row>
    <row r="203" spans="1:7" ht="14.25" customHeight="1" outlineLevel="3" x14ac:dyDescent="0.25">
      <c r="A203" s="10" t="s">
        <v>29</v>
      </c>
      <c r="B203" s="11">
        <v>30000</v>
      </c>
      <c r="C203" s="31"/>
      <c r="D203" s="12"/>
      <c r="E203" s="12"/>
      <c r="F203" s="14">
        <v>0</v>
      </c>
      <c r="G203" s="14">
        <f t="shared" si="14"/>
        <v>0</v>
      </c>
    </row>
    <row r="204" spans="1:7" ht="14.25" customHeight="1" outlineLevel="3" x14ac:dyDescent="0.25">
      <c r="A204" s="10" t="s">
        <v>34</v>
      </c>
      <c r="B204" s="11">
        <v>4187462</v>
      </c>
      <c r="C204" s="30">
        <v>320000</v>
      </c>
      <c r="D204" s="12"/>
      <c r="E204" s="12"/>
      <c r="F204" s="14">
        <f t="shared" si="13"/>
        <v>0</v>
      </c>
      <c r="G204" s="14">
        <f t="shared" si="14"/>
        <v>0</v>
      </c>
    </row>
    <row r="205" spans="1:7" ht="14.25" customHeight="1" outlineLevel="3" x14ac:dyDescent="0.25">
      <c r="A205" s="10" t="s">
        <v>12</v>
      </c>
      <c r="B205" s="11">
        <v>3025300</v>
      </c>
      <c r="C205" s="30">
        <v>125300</v>
      </c>
      <c r="D205" s="12"/>
      <c r="E205" s="12"/>
      <c r="F205" s="14">
        <f t="shared" si="13"/>
        <v>0</v>
      </c>
      <c r="G205" s="14">
        <f t="shared" si="14"/>
        <v>0</v>
      </c>
    </row>
    <row r="206" spans="1:7" ht="14.25" customHeight="1" outlineLevel="3" x14ac:dyDescent="0.25">
      <c r="A206" s="10" t="s">
        <v>13</v>
      </c>
      <c r="B206" s="11">
        <v>6494319</v>
      </c>
      <c r="C206" s="30">
        <v>1167560</v>
      </c>
      <c r="D206" s="12"/>
      <c r="E206" s="12"/>
      <c r="F206" s="14">
        <f t="shared" si="13"/>
        <v>0</v>
      </c>
      <c r="G206" s="14">
        <f t="shared" si="14"/>
        <v>0</v>
      </c>
    </row>
    <row r="207" spans="1:7" ht="14.25" customHeight="1" outlineLevel="3" x14ac:dyDescent="0.25">
      <c r="A207" s="10" t="s">
        <v>14</v>
      </c>
      <c r="B207" s="11">
        <v>285424</v>
      </c>
      <c r="C207" s="30">
        <v>21390</v>
      </c>
      <c r="D207" s="12"/>
      <c r="E207" s="12"/>
      <c r="F207" s="14">
        <f t="shared" si="13"/>
        <v>0</v>
      </c>
      <c r="G207" s="14">
        <f t="shared" si="14"/>
        <v>0</v>
      </c>
    </row>
    <row r="208" spans="1:7" ht="14.25" customHeight="1" outlineLevel="3" x14ac:dyDescent="0.25">
      <c r="A208" s="10" t="s">
        <v>15</v>
      </c>
      <c r="B208" s="11">
        <v>1091140</v>
      </c>
      <c r="C208" s="30">
        <v>95000</v>
      </c>
      <c r="D208" s="12"/>
      <c r="E208" s="12"/>
      <c r="F208" s="14">
        <f t="shared" si="13"/>
        <v>0</v>
      </c>
      <c r="G208" s="14">
        <f t="shared" si="14"/>
        <v>0</v>
      </c>
    </row>
    <row r="209" spans="1:7" ht="14.25" customHeight="1" outlineLevel="3" x14ac:dyDescent="0.25">
      <c r="A209" s="10" t="s">
        <v>32</v>
      </c>
      <c r="B209" s="11">
        <v>2000</v>
      </c>
      <c r="C209" s="32">
        <v>336</v>
      </c>
      <c r="D209" s="12"/>
      <c r="E209" s="12"/>
      <c r="F209" s="14">
        <f t="shared" si="13"/>
        <v>0</v>
      </c>
      <c r="G209" s="14">
        <f t="shared" si="14"/>
        <v>0</v>
      </c>
    </row>
    <row r="210" spans="1:7" ht="14.25" customHeight="1" outlineLevel="3" x14ac:dyDescent="0.25">
      <c r="A210" s="10" t="s">
        <v>26</v>
      </c>
      <c r="B210" s="11">
        <v>44221</v>
      </c>
      <c r="C210" s="30">
        <v>3146</v>
      </c>
      <c r="D210" s="12"/>
      <c r="E210" s="12"/>
      <c r="F210" s="14">
        <f t="shared" si="13"/>
        <v>0</v>
      </c>
      <c r="G210" s="14">
        <f t="shared" si="14"/>
        <v>0</v>
      </c>
    </row>
    <row r="211" spans="1:7" ht="21.95" customHeight="1" outlineLevel="3" x14ac:dyDescent="0.25">
      <c r="A211" s="10" t="s">
        <v>16</v>
      </c>
      <c r="B211" s="11">
        <v>6000</v>
      </c>
      <c r="C211" s="35"/>
      <c r="D211" s="12"/>
      <c r="E211" s="12"/>
      <c r="F211" s="14">
        <v>0</v>
      </c>
      <c r="G211" s="14">
        <f t="shared" si="14"/>
        <v>0</v>
      </c>
    </row>
    <row r="212" spans="1:7" ht="16.5" customHeight="1" outlineLevel="3" x14ac:dyDescent="0.25">
      <c r="A212" s="10" t="s">
        <v>56</v>
      </c>
      <c r="B212" s="11">
        <v>2500000</v>
      </c>
      <c r="C212" s="12"/>
      <c r="D212" s="12"/>
      <c r="E212" s="12"/>
      <c r="F212" s="14">
        <v>0</v>
      </c>
      <c r="G212" s="14">
        <f t="shared" si="14"/>
        <v>0</v>
      </c>
    </row>
    <row r="213" spans="1:7" s="18" customFormat="1" ht="42" customHeight="1" outlineLevel="1" x14ac:dyDescent="0.2">
      <c r="A213" s="28" t="s">
        <v>68</v>
      </c>
      <c r="B213" s="22">
        <f>B214+B225</f>
        <v>94331154</v>
      </c>
      <c r="C213" s="22">
        <f t="shared" ref="C213:E213" si="15">C214+C225</f>
        <v>6374234</v>
      </c>
      <c r="D213" s="22">
        <f t="shared" si="15"/>
        <v>5136804.57</v>
      </c>
      <c r="E213" s="22">
        <f t="shared" si="15"/>
        <v>5136804.57</v>
      </c>
      <c r="F213" s="23">
        <f t="shared" si="13"/>
        <v>0.80587009670495313</v>
      </c>
      <c r="G213" s="23">
        <f t="shared" si="14"/>
        <v>5.4455016738160548E-2</v>
      </c>
    </row>
    <row r="214" spans="1:7" ht="28.5" customHeight="1" outlineLevel="2" x14ac:dyDescent="0.25">
      <c r="A214" s="5" t="s">
        <v>23</v>
      </c>
      <c r="B214" s="6">
        <v>31085605</v>
      </c>
      <c r="C214" s="6">
        <f>SUM(C215:C224)</f>
        <v>2002695</v>
      </c>
      <c r="D214" s="6">
        <v>1220441.81</v>
      </c>
      <c r="E214" s="6">
        <v>1220441.81</v>
      </c>
      <c r="F214" s="7">
        <f t="shared" si="13"/>
        <v>0.60939973885189713</v>
      </c>
      <c r="G214" s="7">
        <f t="shared" si="14"/>
        <v>3.9260674193087125E-2</v>
      </c>
    </row>
    <row r="215" spans="1:7" ht="13.5" customHeight="1" outlineLevel="3" x14ac:dyDescent="0.25">
      <c r="A215" s="10" t="s">
        <v>9</v>
      </c>
      <c r="B215" s="11">
        <v>16695100</v>
      </c>
      <c r="C215" s="30">
        <f>4318162-C226</f>
        <v>1154962</v>
      </c>
      <c r="D215" s="11">
        <v>995367.47</v>
      </c>
      <c r="E215" s="11">
        <v>995367.47</v>
      </c>
      <c r="F215" s="14">
        <f t="shared" si="13"/>
        <v>0.86181837151352159</v>
      </c>
      <c r="G215" s="14">
        <f t="shared" si="14"/>
        <v>5.9620335906942754E-2</v>
      </c>
    </row>
    <row r="216" spans="1:7" ht="13.5" customHeight="1" outlineLevel="3" x14ac:dyDescent="0.25">
      <c r="A216" s="10" t="s">
        <v>10</v>
      </c>
      <c r="B216" s="11">
        <v>3672922</v>
      </c>
      <c r="C216" s="30">
        <f>949996-C227</f>
        <v>254092</v>
      </c>
      <c r="D216" s="11">
        <v>225074.34</v>
      </c>
      <c r="E216" s="11">
        <v>225074.34</v>
      </c>
      <c r="F216" s="14">
        <f t="shared" si="13"/>
        <v>0.88579860837806779</v>
      </c>
      <c r="G216" s="14">
        <f t="shared" si="14"/>
        <v>6.1279368306759577E-2</v>
      </c>
    </row>
    <row r="217" spans="1:7" ht="13.5" customHeight="1" outlineLevel="3" x14ac:dyDescent="0.25">
      <c r="A217" s="10" t="s">
        <v>11</v>
      </c>
      <c r="B217" s="11">
        <v>1590000</v>
      </c>
      <c r="C217" s="31"/>
      <c r="D217" s="12"/>
      <c r="E217" s="12"/>
      <c r="F217" s="14">
        <v>0</v>
      </c>
      <c r="G217" s="14">
        <f t="shared" si="14"/>
        <v>0</v>
      </c>
    </row>
    <row r="218" spans="1:7" ht="13.5" customHeight="1" outlineLevel="3" x14ac:dyDescent="0.25">
      <c r="A218" s="10" t="s">
        <v>29</v>
      </c>
      <c r="B218" s="11">
        <v>15000</v>
      </c>
      <c r="C218" s="31"/>
      <c r="D218" s="12"/>
      <c r="E218" s="12"/>
      <c r="F218" s="14">
        <v>0</v>
      </c>
      <c r="G218" s="14">
        <f t="shared" si="14"/>
        <v>0</v>
      </c>
    </row>
    <row r="219" spans="1:7" ht="13.5" customHeight="1" outlineLevel="3" x14ac:dyDescent="0.25">
      <c r="A219" s="10" t="s">
        <v>12</v>
      </c>
      <c r="B219" s="11">
        <v>6146400</v>
      </c>
      <c r="C219" s="30">
        <f>450000-C230</f>
        <v>150000</v>
      </c>
      <c r="D219" s="12"/>
      <c r="E219" s="12"/>
      <c r="F219" s="14">
        <f t="shared" si="13"/>
        <v>0</v>
      </c>
      <c r="G219" s="14">
        <f t="shared" si="14"/>
        <v>0</v>
      </c>
    </row>
    <row r="220" spans="1:7" ht="13.5" customHeight="1" outlineLevel="3" x14ac:dyDescent="0.25">
      <c r="A220" s="10" t="s">
        <v>13</v>
      </c>
      <c r="B220" s="11">
        <v>2295071</v>
      </c>
      <c r="C220" s="30">
        <f>504311-C231</f>
        <v>377434</v>
      </c>
      <c r="D220" s="12"/>
      <c r="E220" s="12"/>
      <c r="F220" s="14">
        <f t="shared" si="13"/>
        <v>0</v>
      </c>
      <c r="G220" s="14">
        <f t="shared" si="14"/>
        <v>0</v>
      </c>
    </row>
    <row r="221" spans="1:7" ht="13.5" customHeight="1" outlineLevel="3" x14ac:dyDescent="0.25">
      <c r="A221" s="10" t="s">
        <v>14</v>
      </c>
      <c r="B221" s="11">
        <v>52570</v>
      </c>
      <c r="C221" s="30">
        <f>11623-C232</f>
        <v>4565</v>
      </c>
      <c r="D221" s="12"/>
      <c r="E221" s="12"/>
      <c r="F221" s="14">
        <f t="shared" si="13"/>
        <v>0</v>
      </c>
      <c r="G221" s="14">
        <f t="shared" si="14"/>
        <v>0</v>
      </c>
    </row>
    <row r="222" spans="1:7" ht="13.5" customHeight="1" outlineLevel="3" x14ac:dyDescent="0.25">
      <c r="A222" s="10" t="s">
        <v>15</v>
      </c>
      <c r="B222" s="11">
        <v>590760</v>
      </c>
      <c r="C222" s="30">
        <f>135900-C233</f>
        <v>60000</v>
      </c>
      <c r="D222" s="12"/>
      <c r="E222" s="12"/>
      <c r="F222" s="14">
        <f t="shared" si="13"/>
        <v>0</v>
      </c>
      <c r="G222" s="14">
        <f t="shared" si="14"/>
        <v>0</v>
      </c>
    </row>
    <row r="223" spans="1:7" ht="13.5" customHeight="1" outlineLevel="3" x14ac:dyDescent="0.25">
      <c r="A223" s="10" t="s">
        <v>26</v>
      </c>
      <c r="B223" s="11">
        <v>24782</v>
      </c>
      <c r="C223" s="30">
        <f>4242-C234</f>
        <v>1642</v>
      </c>
      <c r="D223" s="12"/>
      <c r="E223" s="12"/>
      <c r="F223" s="14">
        <f t="shared" si="13"/>
        <v>0</v>
      </c>
      <c r="G223" s="14">
        <f t="shared" si="14"/>
        <v>0</v>
      </c>
    </row>
    <row r="224" spans="1:7" ht="29.25" customHeight="1" outlineLevel="3" x14ac:dyDescent="0.25">
      <c r="A224" s="10" t="s">
        <v>16</v>
      </c>
      <c r="B224" s="11">
        <v>3000</v>
      </c>
      <c r="C224" s="12"/>
      <c r="D224" s="12"/>
      <c r="E224" s="12"/>
      <c r="F224" s="14">
        <v>0</v>
      </c>
      <c r="G224" s="14">
        <f t="shared" si="14"/>
        <v>0</v>
      </c>
    </row>
    <row r="225" spans="1:7" ht="18" customHeight="1" outlineLevel="2" x14ac:dyDescent="0.25">
      <c r="A225" s="5" t="s">
        <v>36</v>
      </c>
      <c r="B225" s="6">
        <v>63245549</v>
      </c>
      <c r="C225" s="6">
        <v>4371539</v>
      </c>
      <c r="D225" s="6">
        <v>3916362.76</v>
      </c>
      <c r="E225" s="6">
        <v>3916362.76</v>
      </c>
      <c r="F225" s="7">
        <f t="shared" si="13"/>
        <v>0.89587734662781227</v>
      </c>
      <c r="G225" s="7">
        <f t="shared" si="14"/>
        <v>6.1923136440795223E-2</v>
      </c>
    </row>
    <row r="226" spans="1:7" ht="13.5" customHeight="1" outlineLevel="3" x14ac:dyDescent="0.25">
      <c r="A226" s="10" t="s">
        <v>9</v>
      </c>
      <c r="B226" s="11">
        <v>43835385</v>
      </c>
      <c r="C226" s="11">
        <v>3163200</v>
      </c>
      <c r="D226" s="11">
        <v>3163131.39</v>
      </c>
      <c r="E226" s="11">
        <v>3163131.39</v>
      </c>
      <c r="F226" s="14">
        <f t="shared" si="13"/>
        <v>0.99997830993930203</v>
      </c>
      <c r="G226" s="14">
        <f t="shared" si="14"/>
        <v>7.2159315813012714E-2</v>
      </c>
    </row>
    <row r="227" spans="1:7" ht="13.5" customHeight="1" outlineLevel="3" x14ac:dyDescent="0.25">
      <c r="A227" s="10" t="s">
        <v>10</v>
      </c>
      <c r="B227" s="11">
        <v>9643785</v>
      </c>
      <c r="C227" s="11">
        <v>695904</v>
      </c>
      <c r="D227" s="11">
        <v>693631.17</v>
      </c>
      <c r="E227" s="11">
        <v>693631.17</v>
      </c>
      <c r="F227" s="14">
        <f t="shared" si="13"/>
        <v>0.99673398917092015</v>
      </c>
      <c r="G227" s="14">
        <f t="shared" si="14"/>
        <v>7.1925200530704489E-2</v>
      </c>
    </row>
    <row r="228" spans="1:7" ht="13.5" customHeight="1" outlineLevel="3" x14ac:dyDescent="0.25">
      <c r="A228" s="10" t="s">
        <v>11</v>
      </c>
      <c r="B228" s="11">
        <v>2600000</v>
      </c>
      <c r="C228" s="12"/>
      <c r="D228" s="12"/>
      <c r="E228" s="12"/>
      <c r="F228" s="14">
        <v>0</v>
      </c>
      <c r="G228" s="14">
        <f t="shared" si="14"/>
        <v>0</v>
      </c>
    </row>
    <row r="229" spans="1:7" ht="13.5" customHeight="1" outlineLevel="3" x14ac:dyDescent="0.25">
      <c r="A229" s="10" t="s">
        <v>29</v>
      </c>
      <c r="B229" s="11">
        <v>15000</v>
      </c>
      <c r="C229" s="12"/>
      <c r="D229" s="12"/>
      <c r="E229" s="12"/>
      <c r="F229" s="14">
        <v>0</v>
      </c>
      <c r="G229" s="14">
        <f t="shared" si="14"/>
        <v>0</v>
      </c>
    </row>
    <row r="230" spans="1:7" ht="13.5" customHeight="1" outlineLevel="3" x14ac:dyDescent="0.25">
      <c r="A230" s="10" t="s">
        <v>12</v>
      </c>
      <c r="B230" s="11">
        <v>5353600</v>
      </c>
      <c r="C230" s="11">
        <v>300000</v>
      </c>
      <c r="D230" s="12"/>
      <c r="E230" s="12"/>
      <c r="F230" s="14">
        <f t="shared" si="13"/>
        <v>0</v>
      </c>
      <c r="G230" s="14">
        <f t="shared" si="14"/>
        <v>0</v>
      </c>
    </row>
    <row r="231" spans="1:7" ht="13.5" customHeight="1" outlineLevel="3" x14ac:dyDescent="0.25">
      <c r="A231" s="10" t="s">
        <v>13</v>
      </c>
      <c r="B231" s="11">
        <v>708003</v>
      </c>
      <c r="C231" s="11">
        <v>126877</v>
      </c>
      <c r="D231" s="12"/>
      <c r="E231" s="12"/>
      <c r="F231" s="14">
        <f t="shared" si="13"/>
        <v>0</v>
      </c>
      <c r="G231" s="14">
        <f t="shared" si="14"/>
        <v>0</v>
      </c>
    </row>
    <row r="232" spans="1:7" ht="13.5" customHeight="1" outlineLevel="3" x14ac:dyDescent="0.25">
      <c r="A232" s="10" t="s">
        <v>14</v>
      </c>
      <c r="B232" s="11">
        <v>95502</v>
      </c>
      <c r="C232" s="11">
        <v>7058</v>
      </c>
      <c r="D232" s="12"/>
      <c r="E232" s="12"/>
      <c r="F232" s="14">
        <f t="shared" si="13"/>
        <v>0</v>
      </c>
      <c r="G232" s="14">
        <f t="shared" si="14"/>
        <v>0</v>
      </c>
    </row>
    <row r="233" spans="1:7" ht="13.5" customHeight="1" outlineLevel="3" x14ac:dyDescent="0.25">
      <c r="A233" s="10" t="s">
        <v>15</v>
      </c>
      <c r="B233" s="11">
        <v>960000</v>
      </c>
      <c r="C233" s="11">
        <v>75900</v>
      </c>
      <c r="D233" s="11">
        <v>59600.2</v>
      </c>
      <c r="E233" s="11">
        <v>59600.2</v>
      </c>
      <c r="F233" s="14">
        <f t="shared" si="13"/>
        <v>0.78524637681159415</v>
      </c>
      <c r="G233" s="14">
        <f t="shared" si="14"/>
        <v>6.2083541666666665E-2</v>
      </c>
    </row>
    <row r="234" spans="1:7" ht="13.5" customHeight="1" outlineLevel="3" x14ac:dyDescent="0.25">
      <c r="A234" s="10" t="s">
        <v>26</v>
      </c>
      <c r="B234" s="11">
        <v>31274</v>
      </c>
      <c r="C234" s="11">
        <v>2600</v>
      </c>
      <c r="D234" s="12"/>
      <c r="E234" s="12"/>
      <c r="F234" s="14">
        <f t="shared" si="13"/>
        <v>0</v>
      </c>
      <c r="G234" s="14">
        <f t="shared" si="14"/>
        <v>0</v>
      </c>
    </row>
    <row r="235" spans="1:7" ht="13.5" customHeight="1" outlineLevel="3" x14ac:dyDescent="0.25">
      <c r="A235" s="10" t="s">
        <v>16</v>
      </c>
      <c r="B235" s="11">
        <v>3000</v>
      </c>
      <c r="C235" s="12"/>
      <c r="D235" s="12"/>
      <c r="E235" s="12"/>
      <c r="F235" s="14">
        <v>0</v>
      </c>
      <c r="G235" s="14">
        <f t="shared" si="14"/>
        <v>0</v>
      </c>
    </row>
    <row r="236" spans="1:7" s="18" customFormat="1" ht="26.25" customHeight="1" outlineLevel="1" x14ac:dyDescent="0.2">
      <c r="A236" s="28" t="s">
        <v>69</v>
      </c>
      <c r="B236" s="22">
        <f>B237+B240+B243+B246+B249</f>
        <v>610239300</v>
      </c>
      <c r="C236" s="22">
        <f t="shared" ref="C236:E236" si="16">C237+C240+C243+C246+C249</f>
        <v>72264077</v>
      </c>
      <c r="D236" s="22">
        <f t="shared" si="16"/>
        <v>72264077</v>
      </c>
      <c r="E236" s="22">
        <f t="shared" si="16"/>
        <v>72030735.969999999</v>
      </c>
      <c r="F236" s="23">
        <f t="shared" si="13"/>
        <v>1</v>
      </c>
      <c r="G236" s="23">
        <f t="shared" si="14"/>
        <v>0.11841924471268894</v>
      </c>
    </row>
    <row r="237" spans="1:7" ht="28.5" customHeight="1" outlineLevel="2" x14ac:dyDescent="0.25">
      <c r="A237" s="5" t="s">
        <v>28</v>
      </c>
      <c r="B237" s="6">
        <v>23074964</v>
      </c>
      <c r="C237" s="6">
        <v>2890124</v>
      </c>
      <c r="D237" s="6">
        <v>2890124</v>
      </c>
      <c r="E237" s="6">
        <v>2656782.9700000002</v>
      </c>
      <c r="F237" s="7">
        <f t="shared" si="13"/>
        <v>1</v>
      </c>
      <c r="G237" s="7">
        <f t="shared" si="14"/>
        <v>0.12524933950059466</v>
      </c>
    </row>
    <row r="238" spans="1:7" ht="12.75" customHeight="1" outlineLevel="3" x14ac:dyDescent="0.25">
      <c r="A238" s="10" t="s">
        <v>9</v>
      </c>
      <c r="B238" s="11">
        <v>18913905</v>
      </c>
      <c r="C238" s="11">
        <v>2368954</v>
      </c>
      <c r="D238" s="11">
        <v>2368954</v>
      </c>
      <c r="E238" s="11">
        <v>2218954</v>
      </c>
      <c r="F238" s="14">
        <f t="shared" si="13"/>
        <v>1</v>
      </c>
      <c r="G238" s="14">
        <f t="shared" si="14"/>
        <v>0.12524933375736</v>
      </c>
    </row>
    <row r="239" spans="1:7" ht="12.75" customHeight="1" outlineLevel="3" x14ac:dyDescent="0.25">
      <c r="A239" s="10" t="s">
        <v>10</v>
      </c>
      <c r="B239" s="11">
        <v>4161059</v>
      </c>
      <c r="C239" s="11">
        <v>521170</v>
      </c>
      <c r="D239" s="11">
        <v>521170</v>
      </c>
      <c r="E239" s="11">
        <v>437828.97</v>
      </c>
      <c r="F239" s="14">
        <f t="shared" si="13"/>
        <v>1</v>
      </c>
      <c r="G239" s="14">
        <f t="shared" si="14"/>
        <v>0.12524936560620745</v>
      </c>
    </row>
    <row r="240" spans="1:7" ht="17.25" customHeight="1" outlineLevel="2" x14ac:dyDescent="0.25">
      <c r="A240" s="5" t="s">
        <v>33</v>
      </c>
      <c r="B240" s="6">
        <v>28492178</v>
      </c>
      <c r="C240" s="6">
        <v>3568626</v>
      </c>
      <c r="D240" s="6">
        <v>3568626</v>
      </c>
      <c r="E240" s="6">
        <v>3568626</v>
      </c>
      <c r="F240" s="7">
        <f t="shared" si="13"/>
        <v>1</v>
      </c>
      <c r="G240" s="7">
        <f t="shared" si="14"/>
        <v>0.12524932281414219</v>
      </c>
    </row>
    <row r="241" spans="1:7" ht="13.5" customHeight="1" outlineLevel="3" x14ac:dyDescent="0.25">
      <c r="A241" s="10" t="s">
        <v>9</v>
      </c>
      <c r="B241" s="11">
        <v>23354244</v>
      </c>
      <c r="C241" s="11">
        <v>2925103</v>
      </c>
      <c r="D241" s="11">
        <v>2925103</v>
      </c>
      <c r="E241" s="11">
        <v>2925103</v>
      </c>
      <c r="F241" s="14">
        <f t="shared" si="13"/>
        <v>1</v>
      </c>
      <c r="G241" s="14">
        <f t="shared" si="14"/>
        <v>0.12524931228773664</v>
      </c>
    </row>
    <row r="242" spans="1:7" ht="13.5" customHeight="1" outlineLevel="3" x14ac:dyDescent="0.25">
      <c r="A242" s="10" t="s">
        <v>10</v>
      </c>
      <c r="B242" s="11">
        <v>5137934</v>
      </c>
      <c r="C242" s="11">
        <v>643523</v>
      </c>
      <c r="D242" s="11">
        <v>643523</v>
      </c>
      <c r="E242" s="11">
        <v>643523</v>
      </c>
      <c r="F242" s="14">
        <f t="shared" si="13"/>
        <v>1</v>
      </c>
      <c r="G242" s="14">
        <f t="shared" si="14"/>
        <v>0.12524937066143707</v>
      </c>
    </row>
    <row r="243" spans="1:7" ht="13.5" customHeight="1" outlineLevel="2" x14ac:dyDescent="0.25">
      <c r="A243" s="5" t="s">
        <v>30</v>
      </c>
      <c r="B243" s="6">
        <v>26498057</v>
      </c>
      <c r="C243" s="6">
        <v>3318864</v>
      </c>
      <c r="D243" s="6">
        <v>3318864</v>
      </c>
      <c r="E243" s="6">
        <v>3318864</v>
      </c>
      <c r="F243" s="7">
        <f t="shared" si="13"/>
        <v>1</v>
      </c>
      <c r="G243" s="7">
        <f t="shared" si="14"/>
        <v>0.12524933431911631</v>
      </c>
    </row>
    <row r="244" spans="1:7" ht="11.25" customHeight="1" outlineLevel="3" x14ac:dyDescent="0.25">
      <c r="A244" s="10" t="s">
        <v>9</v>
      </c>
      <c r="B244" s="11">
        <v>21719719</v>
      </c>
      <c r="C244" s="11">
        <v>2720380</v>
      </c>
      <c r="D244" s="11">
        <v>2720380</v>
      </c>
      <c r="E244" s="11">
        <v>2720380</v>
      </c>
      <c r="F244" s="14">
        <f t="shared" si="13"/>
        <v>1</v>
      </c>
      <c r="G244" s="14">
        <f t="shared" si="14"/>
        <v>0.12524931837285741</v>
      </c>
    </row>
    <row r="245" spans="1:7" ht="11.25" customHeight="1" outlineLevel="3" x14ac:dyDescent="0.25">
      <c r="A245" s="10" t="s">
        <v>10</v>
      </c>
      <c r="B245" s="11">
        <v>4778338</v>
      </c>
      <c r="C245" s="11">
        <v>598484</v>
      </c>
      <c r="D245" s="11">
        <v>598484</v>
      </c>
      <c r="E245" s="11">
        <v>598484</v>
      </c>
      <c r="F245" s="14">
        <f t="shared" si="13"/>
        <v>1</v>
      </c>
      <c r="G245" s="14">
        <f t="shared" si="14"/>
        <v>0.12524940680211405</v>
      </c>
    </row>
    <row r="246" spans="1:7" ht="27" customHeight="1" outlineLevel="2" x14ac:dyDescent="0.25">
      <c r="A246" s="5" t="s">
        <v>35</v>
      </c>
      <c r="B246" s="6">
        <v>17429279</v>
      </c>
      <c r="C246" s="6">
        <v>2183006</v>
      </c>
      <c r="D246" s="6">
        <v>2183006</v>
      </c>
      <c r="E246" s="6">
        <v>2183006</v>
      </c>
      <c r="F246" s="7">
        <f t="shared" si="13"/>
        <v>1</v>
      </c>
      <c r="G246" s="7">
        <f t="shared" si="14"/>
        <v>0.12524935770435483</v>
      </c>
    </row>
    <row r="247" spans="1:7" ht="12.75" customHeight="1" outlineLevel="3" x14ac:dyDescent="0.25">
      <c r="A247" s="10" t="s">
        <v>9</v>
      </c>
      <c r="B247" s="11">
        <v>14286294</v>
      </c>
      <c r="C247" s="11">
        <v>1789349</v>
      </c>
      <c r="D247" s="11">
        <v>1789349</v>
      </c>
      <c r="E247" s="11">
        <v>1789349</v>
      </c>
      <c r="F247" s="14">
        <f t="shared" si="13"/>
        <v>1</v>
      </c>
      <c r="G247" s="14">
        <f t="shared" si="14"/>
        <v>0.12524934738148327</v>
      </c>
    </row>
    <row r="248" spans="1:7" ht="12.75" customHeight="1" outlineLevel="3" x14ac:dyDescent="0.25">
      <c r="A248" s="10" t="s">
        <v>10</v>
      </c>
      <c r="B248" s="11">
        <v>3142985</v>
      </c>
      <c r="C248" s="11">
        <v>393657</v>
      </c>
      <c r="D248" s="11">
        <v>393657</v>
      </c>
      <c r="E248" s="11">
        <v>393657</v>
      </c>
      <c r="F248" s="14">
        <f t="shared" si="13"/>
        <v>1</v>
      </c>
      <c r="G248" s="14">
        <f t="shared" si="14"/>
        <v>0.12524940462649362</v>
      </c>
    </row>
    <row r="249" spans="1:7" ht="27" customHeight="1" outlineLevel="2" x14ac:dyDescent="0.25">
      <c r="A249" s="5" t="s">
        <v>23</v>
      </c>
      <c r="B249" s="6">
        <f>SUM(B250:B252)</f>
        <v>514744822</v>
      </c>
      <c r="C249" s="6">
        <f t="shared" ref="C249:E249" si="17">SUM(C250:C252)</f>
        <v>60303457</v>
      </c>
      <c r="D249" s="6">
        <f t="shared" si="17"/>
        <v>60303457</v>
      </c>
      <c r="E249" s="6">
        <f t="shared" si="17"/>
        <v>60303457</v>
      </c>
      <c r="F249" s="7">
        <f t="shared" ref="F249:F312" si="18">D249/C249</f>
        <v>1</v>
      </c>
      <c r="G249" s="7">
        <f t="shared" si="14"/>
        <v>0.1171521391234121</v>
      </c>
    </row>
    <row r="250" spans="1:7" ht="12.75" customHeight="1" outlineLevel="3" x14ac:dyDescent="0.25">
      <c r="A250" s="10" t="s">
        <v>9</v>
      </c>
      <c r="B250" s="11">
        <v>407951336</v>
      </c>
      <c r="C250" s="36">
        <f>59232850-C238-C241-C244-C247</f>
        <v>49429064</v>
      </c>
      <c r="D250" s="11">
        <v>49429064</v>
      </c>
      <c r="E250" s="11">
        <v>49429064</v>
      </c>
      <c r="F250" s="14">
        <f t="shared" si="18"/>
        <v>1</v>
      </c>
      <c r="G250" s="14">
        <f t="shared" si="14"/>
        <v>0.12116411845750151</v>
      </c>
    </row>
    <row r="251" spans="1:7" ht="12.75" customHeight="1" outlineLevel="3" x14ac:dyDescent="0.25">
      <c r="A251" s="10" t="s">
        <v>10</v>
      </c>
      <c r="B251" s="11">
        <v>89749293</v>
      </c>
      <c r="C251" s="36">
        <f>13031227-C239-C242-C245-C248</f>
        <v>10874393</v>
      </c>
      <c r="D251" s="11">
        <v>10874393</v>
      </c>
      <c r="E251" s="11">
        <v>10874393</v>
      </c>
      <c r="F251" s="14">
        <f t="shared" si="18"/>
        <v>1</v>
      </c>
      <c r="G251" s="14">
        <f t="shared" si="14"/>
        <v>0.12116410766600691</v>
      </c>
    </row>
    <row r="252" spans="1:7" ht="12.75" customHeight="1" outlineLevel="3" x14ac:dyDescent="0.25">
      <c r="A252" s="10" t="s">
        <v>37</v>
      </c>
      <c r="B252" s="11">
        <v>17044193</v>
      </c>
      <c r="C252" s="37"/>
      <c r="D252" s="12"/>
      <c r="E252" s="12"/>
      <c r="F252" s="14">
        <v>0</v>
      </c>
      <c r="G252" s="14">
        <f t="shared" si="14"/>
        <v>0</v>
      </c>
    </row>
    <row r="253" spans="1:7" s="18" customFormat="1" ht="65.25" customHeight="1" outlineLevel="1" x14ac:dyDescent="0.2">
      <c r="A253" s="28" t="s">
        <v>70</v>
      </c>
      <c r="B253" s="22">
        <v>33481509</v>
      </c>
      <c r="C253" s="22">
        <v>4078777</v>
      </c>
      <c r="D253" s="22">
        <v>4078777</v>
      </c>
      <c r="E253" s="22">
        <v>3471104.98</v>
      </c>
      <c r="F253" s="23">
        <f t="shared" si="18"/>
        <v>1</v>
      </c>
      <c r="G253" s="23">
        <f t="shared" si="14"/>
        <v>0.12182177929913493</v>
      </c>
    </row>
    <row r="254" spans="1:7" ht="29.25" customHeight="1" outlineLevel="2" x14ac:dyDescent="0.25">
      <c r="A254" s="5" t="s">
        <v>23</v>
      </c>
      <c r="B254" s="6">
        <v>33481509</v>
      </c>
      <c r="C254" s="6">
        <v>4078777</v>
      </c>
      <c r="D254" s="6">
        <v>4078777</v>
      </c>
      <c r="E254" s="6">
        <v>3471104.98</v>
      </c>
      <c r="F254" s="7">
        <f t="shared" si="18"/>
        <v>1</v>
      </c>
      <c r="G254" s="7">
        <f t="shared" si="14"/>
        <v>0.12182177929913493</v>
      </c>
    </row>
    <row r="255" spans="1:7" ht="12" customHeight="1" outlineLevel="3" x14ac:dyDescent="0.25">
      <c r="A255" s="10" t="s">
        <v>9</v>
      </c>
      <c r="B255" s="11">
        <v>27443860</v>
      </c>
      <c r="C255" s="11">
        <v>3343260</v>
      </c>
      <c r="D255" s="11">
        <v>3343260</v>
      </c>
      <c r="E255" s="11">
        <v>2735587.98</v>
      </c>
      <c r="F255" s="14">
        <f t="shared" si="18"/>
        <v>1</v>
      </c>
      <c r="G255" s="14">
        <f t="shared" si="14"/>
        <v>0.12182178454488544</v>
      </c>
    </row>
    <row r="256" spans="1:7" ht="12" customHeight="1" outlineLevel="3" x14ac:dyDescent="0.25">
      <c r="A256" s="10" t="s">
        <v>10</v>
      </c>
      <c r="B256" s="11">
        <v>6037649</v>
      </c>
      <c r="C256" s="11">
        <v>735517</v>
      </c>
      <c r="D256" s="11">
        <v>735517</v>
      </c>
      <c r="E256" s="11">
        <v>735517</v>
      </c>
      <c r="F256" s="14">
        <f t="shared" si="18"/>
        <v>1</v>
      </c>
      <c r="G256" s="14">
        <f t="shared" si="14"/>
        <v>0.12182175545481362</v>
      </c>
    </row>
    <row r="257" spans="1:7" s="18" customFormat="1" ht="37.5" customHeight="1" outlineLevel="1" x14ac:dyDescent="0.2">
      <c r="A257" s="28" t="s">
        <v>71</v>
      </c>
      <c r="B257" s="22">
        <v>17087832</v>
      </c>
      <c r="C257" s="22">
        <v>2081670</v>
      </c>
      <c r="D257" s="22">
        <v>2081670</v>
      </c>
      <c r="E257" s="22">
        <v>2081670</v>
      </c>
      <c r="F257" s="23">
        <f t="shared" si="18"/>
        <v>1</v>
      </c>
      <c r="G257" s="23">
        <f t="shared" si="14"/>
        <v>0.12182177352867234</v>
      </c>
    </row>
    <row r="258" spans="1:7" ht="29.25" customHeight="1" outlineLevel="2" x14ac:dyDescent="0.25">
      <c r="A258" s="5" t="s">
        <v>23</v>
      </c>
      <c r="B258" s="6">
        <v>10746245</v>
      </c>
      <c r="C258" s="6">
        <v>1309162</v>
      </c>
      <c r="D258" s="6">
        <v>1309162</v>
      </c>
      <c r="E258" s="6">
        <v>1309162</v>
      </c>
      <c r="F258" s="7">
        <f t="shared" si="18"/>
        <v>1</v>
      </c>
      <c r="G258" s="7">
        <f t="shared" si="14"/>
        <v>0.1218250654065676</v>
      </c>
    </row>
    <row r="259" spans="1:7" ht="13.5" customHeight="1" outlineLevel="3" x14ac:dyDescent="0.25">
      <c r="A259" s="10" t="s">
        <v>9</v>
      </c>
      <c r="B259" s="11">
        <v>8808397</v>
      </c>
      <c r="C259" s="11">
        <v>1073084</v>
      </c>
      <c r="D259" s="11">
        <v>1073084</v>
      </c>
      <c r="E259" s="11">
        <v>1073084</v>
      </c>
      <c r="F259" s="14">
        <f t="shared" si="18"/>
        <v>1</v>
      </c>
      <c r="G259" s="14">
        <f t="shared" si="14"/>
        <v>0.1218251175554417</v>
      </c>
    </row>
    <row r="260" spans="1:7" ht="13.5" customHeight="1" outlineLevel="3" x14ac:dyDescent="0.25">
      <c r="A260" s="10" t="s">
        <v>10</v>
      </c>
      <c r="B260" s="11">
        <v>1937848</v>
      </c>
      <c r="C260" s="11">
        <v>236078</v>
      </c>
      <c r="D260" s="11">
        <v>236078</v>
      </c>
      <c r="E260" s="11">
        <v>236078</v>
      </c>
      <c r="F260" s="14">
        <f t="shared" si="18"/>
        <v>1</v>
      </c>
      <c r="G260" s="14">
        <f t="shared" si="14"/>
        <v>0.12182482836631149</v>
      </c>
    </row>
    <row r="261" spans="1:7" ht="15.75" customHeight="1" outlineLevel="2" x14ac:dyDescent="0.25">
      <c r="A261" s="5" t="s">
        <v>36</v>
      </c>
      <c r="B261" s="6">
        <v>6341587</v>
      </c>
      <c r="C261" s="6">
        <v>772508</v>
      </c>
      <c r="D261" s="6">
        <v>772508</v>
      </c>
      <c r="E261" s="6">
        <v>772508</v>
      </c>
      <c r="F261" s="7">
        <f t="shared" si="18"/>
        <v>1</v>
      </c>
      <c r="G261" s="7">
        <f t="shared" si="14"/>
        <v>0.12181619522053391</v>
      </c>
    </row>
    <row r="262" spans="1:7" ht="14.25" customHeight="1" outlineLevel="3" x14ac:dyDescent="0.25">
      <c r="A262" s="10" t="s">
        <v>9</v>
      </c>
      <c r="B262" s="11">
        <v>5198023</v>
      </c>
      <c r="C262" s="11">
        <v>633203</v>
      </c>
      <c r="D262" s="11">
        <v>633203</v>
      </c>
      <c r="E262" s="11">
        <v>633203</v>
      </c>
      <c r="F262" s="14">
        <f t="shared" si="18"/>
        <v>1</v>
      </c>
      <c r="G262" s="14">
        <f t="shared" si="14"/>
        <v>0.12181612124455779</v>
      </c>
    </row>
    <row r="263" spans="1:7" ht="14.25" customHeight="1" outlineLevel="3" x14ac:dyDescent="0.25">
      <c r="A263" s="10" t="s">
        <v>10</v>
      </c>
      <c r="B263" s="11">
        <v>1143564</v>
      </c>
      <c r="C263" s="11">
        <v>139305</v>
      </c>
      <c r="D263" s="11">
        <v>139305</v>
      </c>
      <c r="E263" s="11">
        <v>139305</v>
      </c>
      <c r="F263" s="14">
        <f t="shared" si="18"/>
        <v>1</v>
      </c>
      <c r="G263" s="14">
        <f t="shared" ref="G263:G326" si="19">D263/B263</f>
        <v>0.12181653147528254</v>
      </c>
    </row>
    <row r="264" spans="1:7" s="18" customFormat="1" ht="27" customHeight="1" outlineLevel="1" x14ac:dyDescent="0.2">
      <c r="A264" s="28" t="s">
        <v>72</v>
      </c>
      <c r="B264" s="22">
        <f>B265+B268+B278+B281+B291</f>
        <v>124761433</v>
      </c>
      <c r="C264" s="22">
        <f t="shared" ref="C264:E264" si="20">C265+C268+C278+C281+C291</f>
        <v>9357360</v>
      </c>
      <c r="D264" s="22">
        <f t="shared" si="20"/>
        <v>7624426.4000000004</v>
      </c>
      <c r="E264" s="22">
        <f t="shared" si="20"/>
        <v>7624426.4000000004</v>
      </c>
      <c r="F264" s="23">
        <f t="shared" si="18"/>
        <v>0.81480528696127974</v>
      </c>
      <c r="G264" s="23">
        <f t="shared" si="19"/>
        <v>6.1112045739327159E-2</v>
      </c>
    </row>
    <row r="265" spans="1:7" ht="27" customHeight="1" outlineLevel="2" x14ac:dyDescent="0.25">
      <c r="A265" s="5" t="s">
        <v>28</v>
      </c>
      <c r="B265" s="6">
        <v>7002312</v>
      </c>
      <c r="C265" s="6">
        <v>573400</v>
      </c>
      <c r="D265" s="6">
        <v>572001.78</v>
      </c>
      <c r="E265" s="6">
        <v>572001.78</v>
      </c>
      <c r="F265" s="7">
        <f t="shared" si="18"/>
        <v>0.99756152772933382</v>
      </c>
      <c r="G265" s="7">
        <f t="shared" si="19"/>
        <v>8.1687559765974443E-2</v>
      </c>
    </row>
    <row r="266" spans="1:7" ht="14.25" customHeight="1" outlineLevel="3" x14ac:dyDescent="0.25">
      <c r="A266" s="10" t="s">
        <v>9</v>
      </c>
      <c r="B266" s="11">
        <v>5739600</v>
      </c>
      <c r="C266" s="11">
        <v>470000</v>
      </c>
      <c r="D266" s="11">
        <v>470000</v>
      </c>
      <c r="E266" s="11">
        <v>470000</v>
      </c>
      <c r="F266" s="14">
        <f t="shared" si="18"/>
        <v>1</v>
      </c>
      <c r="G266" s="14">
        <f t="shared" si="19"/>
        <v>8.1887239528887032E-2</v>
      </c>
    </row>
    <row r="267" spans="1:7" ht="14.25" customHeight="1" outlineLevel="3" x14ac:dyDescent="0.25">
      <c r="A267" s="10" t="s">
        <v>10</v>
      </c>
      <c r="B267" s="11">
        <v>1262712</v>
      </c>
      <c r="C267" s="11">
        <v>103400</v>
      </c>
      <c r="D267" s="11">
        <v>102001.78</v>
      </c>
      <c r="E267" s="11">
        <v>102001.78</v>
      </c>
      <c r="F267" s="14">
        <f t="shared" si="18"/>
        <v>0.98647756286266919</v>
      </c>
      <c r="G267" s="14">
        <f t="shared" si="19"/>
        <v>8.0779924480008106E-2</v>
      </c>
    </row>
    <row r="268" spans="1:7" ht="17.25" customHeight="1" outlineLevel="2" x14ac:dyDescent="0.25">
      <c r="A268" s="5" t="s">
        <v>38</v>
      </c>
      <c r="B268" s="6">
        <v>19898733</v>
      </c>
      <c r="C268" s="6">
        <v>1482337</v>
      </c>
      <c r="D268" s="6">
        <v>1079919.1000000001</v>
      </c>
      <c r="E268" s="6">
        <v>1079919.1000000001</v>
      </c>
      <c r="F268" s="7">
        <f t="shared" si="18"/>
        <v>0.72852468770596701</v>
      </c>
      <c r="G268" s="7">
        <f t="shared" si="19"/>
        <v>5.4270746785737567E-2</v>
      </c>
    </row>
    <row r="269" spans="1:7" ht="14.25" customHeight="1" outlineLevel="3" x14ac:dyDescent="0.25">
      <c r="A269" s="10" t="s">
        <v>9</v>
      </c>
      <c r="B269" s="11">
        <v>11768700</v>
      </c>
      <c r="C269" s="11">
        <v>900000</v>
      </c>
      <c r="D269" s="11">
        <v>881171.53</v>
      </c>
      <c r="E269" s="11">
        <v>881171.53</v>
      </c>
      <c r="F269" s="14">
        <f t="shared" si="18"/>
        <v>0.97907947777777782</v>
      </c>
      <c r="G269" s="14">
        <f t="shared" si="19"/>
        <v>7.4874160272587462E-2</v>
      </c>
    </row>
    <row r="270" spans="1:7" ht="14.25" customHeight="1" outlineLevel="3" x14ac:dyDescent="0.25">
      <c r="A270" s="10" t="s">
        <v>10</v>
      </c>
      <c r="B270" s="11">
        <v>2589114</v>
      </c>
      <c r="C270" s="11">
        <v>198000</v>
      </c>
      <c r="D270" s="11">
        <v>194709.6</v>
      </c>
      <c r="E270" s="11">
        <v>194709.6</v>
      </c>
      <c r="F270" s="14">
        <f t="shared" si="18"/>
        <v>0.98338181818181825</v>
      </c>
      <c r="G270" s="14">
        <f t="shared" si="19"/>
        <v>7.5203177612109776E-2</v>
      </c>
    </row>
    <row r="271" spans="1:7" ht="14.25" customHeight="1" outlineLevel="3" x14ac:dyDescent="0.25">
      <c r="A271" s="10" t="s">
        <v>11</v>
      </c>
      <c r="B271" s="11">
        <v>974280</v>
      </c>
      <c r="C271" s="12"/>
      <c r="D271" s="12"/>
      <c r="E271" s="12"/>
      <c r="F271" s="14">
        <v>0</v>
      </c>
      <c r="G271" s="14">
        <f t="shared" si="19"/>
        <v>0</v>
      </c>
    </row>
    <row r="272" spans="1:7" ht="14.25" customHeight="1" outlineLevel="3" x14ac:dyDescent="0.25">
      <c r="A272" s="10" t="s">
        <v>12</v>
      </c>
      <c r="B272" s="11">
        <v>2605000</v>
      </c>
      <c r="C272" s="11">
        <v>60000</v>
      </c>
      <c r="D272" s="12"/>
      <c r="E272" s="12"/>
      <c r="F272" s="14">
        <f t="shared" si="18"/>
        <v>0</v>
      </c>
      <c r="G272" s="14">
        <f t="shared" si="19"/>
        <v>0</v>
      </c>
    </row>
    <row r="273" spans="1:7" ht="14.25" customHeight="1" outlineLevel="3" x14ac:dyDescent="0.25">
      <c r="A273" s="10" t="s">
        <v>13</v>
      </c>
      <c r="B273" s="11">
        <v>1250683</v>
      </c>
      <c r="C273" s="11">
        <v>264071</v>
      </c>
      <c r="D273" s="12"/>
      <c r="E273" s="12"/>
      <c r="F273" s="14">
        <f t="shared" si="18"/>
        <v>0</v>
      </c>
      <c r="G273" s="14">
        <f t="shared" si="19"/>
        <v>0</v>
      </c>
    </row>
    <row r="274" spans="1:7" ht="14.25" customHeight="1" outlineLevel="3" x14ac:dyDescent="0.25">
      <c r="A274" s="10" t="s">
        <v>14</v>
      </c>
      <c r="B274" s="11">
        <v>63983</v>
      </c>
      <c r="C274" s="11">
        <v>5501</v>
      </c>
      <c r="D274" s="11">
        <v>4037.97</v>
      </c>
      <c r="E274" s="11">
        <v>4037.97</v>
      </c>
      <c r="F274" s="14">
        <f t="shared" si="18"/>
        <v>0.7340429012906744</v>
      </c>
      <c r="G274" s="14">
        <f t="shared" si="19"/>
        <v>6.3110044855664779E-2</v>
      </c>
    </row>
    <row r="275" spans="1:7" ht="14.25" customHeight="1" outlineLevel="3" x14ac:dyDescent="0.25">
      <c r="A275" s="10" t="s">
        <v>15</v>
      </c>
      <c r="B275" s="11">
        <v>613973</v>
      </c>
      <c r="C275" s="11">
        <v>52265</v>
      </c>
      <c r="D275" s="12"/>
      <c r="E275" s="12"/>
      <c r="F275" s="14">
        <f t="shared" si="18"/>
        <v>0</v>
      </c>
      <c r="G275" s="14">
        <f t="shared" si="19"/>
        <v>0</v>
      </c>
    </row>
    <row r="276" spans="1:7" ht="14.25" customHeight="1" outlineLevel="3" x14ac:dyDescent="0.25">
      <c r="A276" s="10" t="s">
        <v>26</v>
      </c>
      <c r="B276" s="11">
        <v>30000</v>
      </c>
      <c r="C276" s="11">
        <v>2500</v>
      </c>
      <c r="D276" s="12"/>
      <c r="E276" s="12"/>
      <c r="F276" s="14">
        <f t="shared" si="18"/>
        <v>0</v>
      </c>
      <c r="G276" s="14">
        <f t="shared" si="19"/>
        <v>0</v>
      </c>
    </row>
    <row r="277" spans="1:7" ht="25.5" customHeight="1" outlineLevel="3" x14ac:dyDescent="0.25">
      <c r="A277" s="10" t="s">
        <v>16</v>
      </c>
      <c r="B277" s="11">
        <v>3000</v>
      </c>
      <c r="C277" s="12"/>
      <c r="D277" s="12"/>
      <c r="E277" s="12"/>
      <c r="F277" s="14">
        <v>0</v>
      </c>
      <c r="G277" s="14">
        <f t="shared" si="19"/>
        <v>0</v>
      </c>
    </row>
    <row r="278" spans="1:7" ht="15" customHeight="1" outlineLevel="2" x14ac:dyDescent="0.25">
      <c r="A278" s="5" t="s">
        <v>30</v>
      </c>
      <c r="B278" s="6">
        <v>7281692</v>
      </c>
      <c r="C278" s="6">
        <v>561200</v>
      </c>
      <c r="D278" s="6">
        <v>558121.53</v>
      </c>
      <c r="E278" s="6">
        <v>558121.53</v>
      </c>
      <c r="F278" s="7">
        <f t="shared" si="18"/>
        <v>0.99451448681397014</v>
      </c>
      <c r="G278" s="7">
        <f t="shared" si="19"/>
        <v>7.6647231165503843E-2</v>
      </c>
    </row>
    <row r="279" spans="1:7" ht="13.5" customHeight="1" outlineLevel="3" x14ac:dyDescent="0.25">
      <c r="A279" s="10" t="s">
        <v>9</v>
      </c>
      <c r="B279" s="11">
        <v>5968600</v>
      </c>
      <c r="C279" s="11">
        <v>460000</v>
      </c>
      <c r="D279" s="11">
        <v>458785.58</v>
      </c>
      <c r="E279" s="11">
        <v>458785.58</v>
      </c>
      <c r="F279" s="14">
        <f t="shared" si="18"/>
        <v>0.99735995652173914</v>
      </c>
      <c r="G279" s="14">
        <f t="shared" si="19"/>
        <v>7.686653151492813E-2</v>
      </c>
    </row>
    <row r="280" spans="1:7" ht="13.5" customHeight="1" outlineLevel="3" x14ac:dyDescent="0.25">
      <c r="A280" s="10" t="s">
        <v>10</v>
      </c>
      <c r="B280" s="11">
        <v>1313092</v>
      </c>
      <c r="C280" s="11">
        <v>101200</v>
      </c>
      <c r="D280" s="11">
        <v>99335.95</v>
      </c>
      <c r="E280" s="11">
        <v>99335.95</v>
      </c>
      <c r="F280" s="14">
        <f t="shared" si="18"/>
        <v>0.98158053359683795</v>
      </c>
      <c r="G280" s="14">
        <f t="shared" si="19"/>
        <v>7.5650411395393469E-2</v>
      </c>
    </row>
    <row r="281" spans="1:7" ht="26.25" customHeight="1" outlineLevel="2" x14ac:dyDescent="0.25">
      <c r="A281" s="5" t="s">
        <v>23</v>
      </c>
      <c r="B281" s="6">
        <v>47520127</v>
      </c>
      <c r="C281" s="6">
        <f>SUM(C282:C290)</f>
        <v>3240413</v>
      </c>
      <c r="D281" s="6">
        <v>2575546.29</v>
      </c>
      <c r="E281" s="6">
        <v>2575546.29</v>
      </c>
      <c r="F281" s="7">
        <f t="shared" si="18"/>
        <v>0.794820379377567</v>
      </c>
      <c r="G281" s="7">
        <f t="shared" si="19"/>
        <v>5.4199061589208293E-2</v>
      </c>
    </row>
    <row r="282" spans="1:7" ht="13.5" customHeight="1" outlineLevel="3" x14ac:dyDescent="0.25">
      <c r="A282" s="10" t="s">
        <v>9</v>
      </c>
      <c r="B282" s="11">
        <v>28943677</v>
      </c>
      <c r="C282" s="30">
        <f>6286000-C292-C279-C269-C266</f>
        <v>2136000</v>
      </c>
      <c r="D282" s="11">
        <v>2105626.29</v>
      </c>
      <c r="E282" s="11">
        <v>2105626.29</v>
      </c>
      <c r="F282" s="14">
        <f t="shared" si="18"/>
        <v>0.98578009831460678</v>
      </c>
      <c r="G282" s="14">
        <f t="shared" si="19"/>
        <v>7.2749094387696486E-2</v>
      </c>
    </row>
    <row r="283" spans="1:7" ht="13.5" customHeight="1" outlineLevel="3" x14ac:dyDescent="0.25">
      <c r="A283" s="10" t="s">
        <v>10</v>
      </c>
      <c r="B283" s="11">
        <v>6367609</v>
      </c>
      <c r="C283" s="30">
        <f>1382920-C293-C280-C270-C267</f>
        <v>469920</v>
      </c>
      <c r="D283" s="11">
        <v>469920</v>
      </c>
      <c r="E283" s="11">
        <v>469920</v>
      </c>
      <c r="F283" s="14">
        <f t="shared" si="18"/>
        <v>1</v>
      </c>
      <c r="G283" s="14">
        <f t="shared" si="19"/>
        <v>7.3798501132842795E-2</v>
      </c>
    </row>
    <row r="284" spans="1:7" ht="13.5" customHeight="1" outlineLevel="3" x14ac:dyDescent="0.25">
      <c r="A284" s="10" t="s">
        <v>11</v>
      </c>
      <c r="B284" s="11">
        <v>4001720</v>
      </c>
      <c r="C284" s="30">
        <f>300000-C294</f>
        <v>0</v>
      </c>
      <c r="D284" s="12"/>
      <c r="E284" s="12"/>
      <c r="F284" s="14">
        <v>0</v>
      </c>
      <c r="G284" s="14">
        <f t="shared" si="19"/>
        <v>0</v>
      </c>
    </row>
    <row r="285" spans="1:7" ht="13.5" customHeight="1" outlineLevel="3" x14ac:dyDescent="0.25">
      <c r="A285" s="10" t="s">
        <v>12</v>
      </c>
      <c r="B285" s="11">
        <v>4795000</v>
      </c>
      <c r="C285" s="30">
        <f>460000-C272-C295</f>
        <v>100000</v>
      </c>
      <c r="D285" s="12"/>
      <c r="E285" s="12"/>
      <c r="F285" s="14">
        <f t="shared" si="18"/>
        <v>0</v>
      </c>
      <c r="G285" s="14">
        <f t="shared" si="19"/>
        <v>0</v>
      </c>
    </row>
    <row r="286" spans="1:7" ht="13.5" customHeight="1" outlineLevel="3" x14ac:dyDescent="0.25">
      <c r="A286" s="10" t="s">
        <v>13</v>
      </c>
      <c r="B286" s="11">
        <v>2761908</v>
      </c>
      <c r="C286" s="30">
        <f>772350-C273-C296</f>
        <v>477309</v>
      </c>
      <c r="D286" s="12"/>
      <c r="E286" s="12"/>
      <c r="F286" s="14">
        <f t="shared" si="18"/>
        <v>0</v>
      </c>
      <c r="G286" s="14">
        <f t="shared" si="19"/>
        <v>0</v>
      </c>
    </row>
    <row r="287" spans="1:7" ht="13.5" customHeight="1" outlineLevel="3" x14ac:dyDescent="0.25">
      <c r="A287" s="10" t="s">
        <v>14</v>
      </c>
      <c r="B287" s="11">
        <v>105910</v>
      </c>
      <c r="C287" s="30">
        <f>19157-C274-C297</f>
        <v>9388</v>
      </c>
      <c r="D287" s="12"/>
      <c r="E287" s="12"/>
      <c r="F287" s="14">
        <f t="shared" si="18"/>
        <v>0</v>
      </c>
      <c r="G287" s="14">
        <f t="shared" si="19"/>
        <v>0</v>
      </c>
    </row>
    <row r="288" spans="1:7" ht="13.5" customHeight="1" outlineLevel="3" x14ac:dyDescent="0.25">
      <c r="A288" s="10" t="s">
        <v>15</v>
      </c>
      <c r="B288" s="11">
        <v>463360</v>
      </c>
      <c r="C288" s="30">
        <f>128465-C275-C298</f>
        <v>44000</v>
      </c>
      <c r="D288" s="12"/>
      <c r="E288" s="12"/>
      <c r="F288" s="14">
        <f t="shared" si="18"/>
        <v>0</v>
      </c>
      <c r="G288" s="14">
        <f t="shared" si="19"/>
        <v>0</v>
      </c>
    </row>
    <row r="289" spans="1:7" ht="13.5" customHeight="1" outlineLevel="3" x14ac:dyDescent="0.25">
      <c r="A289" s="10" t="s">
        <v>26</v>
      </c>
      <c r="B289" s="11">
        <v>68943</v>
      </c>
      <c r="C289" s="30">
        <f>8468-C276-C299</f>
        <v>3796</v>
      </c>
      <c r="D289" s="12"/>
      <c r="E289" s="12"/>
      <c r="F289" s="14">
        <f t="shared" si="18"/>
        <v>0</v>
      </c>
      <c r="G289" s="14">
        <f t="shared" si="19"/>
        <v>0</v>
      </c>
    </row>
    <row r="290" spans="1:7" ht="26.25" customHeight="1" outlineLevel="3" x14ac:dyDescent="0.25">
      <c r="A290" s="10" t="s">
        <v>16</v>
      </c>
      <c r="B290" s="11">
        <v>12000</v>
      </c>
      <c r="C290" s="12"/>
      <c r="D290" s="12"/>
      <c r="E290" s="12"/>
      <c r="F290" s="14">
        <v>0</v>
      </c>
      <c r="G290" s="14">
        <f t="shared" si="19"/>
        <v>0</v>
      </c>
    </row>
    <row r="291" spans="1:7" ht="18.75" customHeight="1" outlineLevel="2" x14ac:dyDescent="0.25">
      <c r="A291" s="5" t="s">
        <v>36</v>
      </c>
      <c r="B291" s="6">
        <v>43058569</v>
      </c>
      <c r="C291" s="6">
        <v>3500010</v>
      </c>
      <c r="D291" s="6">
        <v>2838837.7</v>
      </c>
      <c r="E291" s="6">
        <v>2838837.7</v>
      </c>
      <c r="F291" s="7">
        <f t="shared" si="18"/>
        <v>0.81109416830237635</v>
      </c>
      <c r="G291" s="7">
        <f t="shared" si="19"/>
        <v>6.5929680570666435E-2</v>
      </c>
    </row>
    <row r="292" spans="1:7" ht="12.75" customHeight="1" outlineLevel="3" x14ac:dyDescent="0.25">
      <c r="A292" s="10" t="s">
        <v>9</v>
      </c>
      <c r="B292" s="11">
        <v>29997100</v>
      </c>
      <c r="C292" s="11">
        <v>2320000</v>
      </c>
      <c r="D292" s="11">
        <v>2302906.2999999998</v>
      </c>
      <c r="E292" s="11">
        <v>2302906.2999999998</v>
      </c>
      <c r="F292" s="14">
        <f t="shared" si="18"/>
        <v>0.99263202586206889</v>
      </c>
      <c r="G292" s="14">
        <f t="shared" si="19"/>
        <v>7.6770964526570895E-2</v>
      </c>
    </row>
    <row r="293" spans="1:7" ht="12.75" customHeight="1" outlineLevel="3" x14ac:dyDescent="0.25">
      <c r="A293" s="10" t="s">
        <v>10</v>
      </c>
      <c r="B293" s="11">
        <v>6599362</v>
      </c>
      <c r="C293" s="11">
        <v>510400</v>
      </c>
      <c r="D293" s="11">
        <v>510385.96</v>
      </c>
      <c r="E293" s="11">
        <v>510385.96</v>
      </c>
      <c r="F293" s="14">
        <f t="shared" si="18"/>
        <v>0.99997249216300943</v>
      </c>
      <c r="G293" s="14">
        <f t="shared" si="19"/>
        <v>7.733868213321228E-2</v>
      </c>
    </row>
    <row r="294" spans="1:7" ht="12.75" customHeight="1" outlineLevel="3" x14ac:dyDescent="0.25">
      <c r="A294" s="10" t="s">
        <v>11</v>
      </c>
      <c r="B294" s="11">
        <v>2000000</v>
      </c>
      <c r="C294" s="11">
        <v>300000</v>
      </c>
      <c r="D294" s="12"/>
      <c r="E294" s="12"/>
      <c r="F294" s="14">
        <f t="shared" si="18"/>
        <v>0</v>
      </c>
      <c r="G294" s="14">
        <f t="shared" si="19"/>
        <v>0</v>
      </c>
    </row>
    <row r="295" spans="1:7" ht="12.75" customHeight="1" outlineLevel="3" x14ac:dyDescent="0.25">
      <c r="A295" s="10" t="s">
        <v>12</v>
      </c>
      <c r="B295" s="11">
        <v>3600000</v>
      </c>
      <c r="C295" s="11">
        <v>300000</v>
      </c>
      <c r="D295" s="12"/>
      <c r="E295" s="12"/>
      <c r="F295" s="14">
        <f t="shared" si="18"/>
        <v>0</v>
      </c>
      <c r="G295" s="14">
        <f t="shared" si="19"/>
        <v>0</v>
      </c>
    </row>
    <row r="296" spans="1:7" ht="12.75" customHeight="1" outlineLevel="3" x14ac:dyDescent="0.25">
      <c r="A296" s="10" t="s">
        <v>13</v>
      </c>
      <c r="B296" s="11">
        <v>364729</v>
      </c>
      <c r="C296" s="11">
        <v>30970</v>
      </c>
      <c r="D296" s="12"/>
      <c r="E296" s="12"/>
      <c r="F296" s="14">
        <f t="shared" si="18"/>
        <v>0</v>
      </c>
      <c r="G296" s="14">
        <f t="shared" si="19"/>
        <v>0</v>
      </c>
    </row>
    <row r="297" spans="1:7" ht="12.75" customHeight="1" outlineLevel="3" x14ac:dyDescent="0.25">
      <c r="A297" s="10" t="s">
        <v>14</v>
      </c>
      <c r="B297" s="11">
        <v>64483</v>
      </c>
      <c r="C297" s="11">
        <v>4268</v>
      </c>
      <c r="D297" s="12"/>
      <c r="E297" s="12"/>
      <c r="F297" s="14">
        <f t="shared" si="18"/>
        <v>0</v>
      </c>
      <c r="G297" s="14">
        <f t="shared" si="19"/>
        <v>0</v>
      </c>
    </row>
    <row r="298" spans="1:7" ht="12.75" customHeight="1" outlineLevel="3" x14ac:dyDescent="0.25">
      <c r="A298" s="10" t="s">
        <v>15</v>
      </c>
      <c r="B298" s="11">
        <v>403830</v>
      </c>
      <c r="C298" s="11">
        <v>32200</v>
      </c>
      <c r="D298" s="11">
        <v>25545.439999999999</v>
      </c>
      <c r="E298" s="11">
        <v>25545.439999999999</v>
      </c>
      <c r="F298" s="14">
        <f t="shared" si="18"/>
        <v>0.7933366459627329</v>
      </c>
      <c r="G298" s="14">
        <f t="shared" si="19"/>
        <v>6.3257905554317401E-2</v>
      </c>
    </row>
    <row r="299" spans="1:7" ht="12.75" customHeight="1" outlineLevel="3" x14ac:dyDescent="0.25">
      <c r="A299" s="10" t="s">
        <v>26</v>
      </c>
      <c r="B299" s="11">
        <v>26065</v>
      </c>
      <c r="C299" s="11">
        <v>2172</v>
      </c>
      <c r="D299" s="12"/>
      <c r="E299" s="12"/>
      <c r="F299" s="14">
        <f t="shared" si="18"/>
        <v>0</v>
      </c>
      <c r="G299" s="14">
        <f t="shared" si="19"/>
        <v>0</v>
      </c>
    </row>
    <row r="300" spans="1:7" ht="24.75" customHeight="1" outlineLevel="3" x14ac:dyDescent="0.25">
      <c r="A300" s="10" t="s">
        <v>16</v>
      </c>
      <c r="B300" s="11">
        <v>3000</v>
      </c>
      <c r="C300" s="12"/>
      <c r="D300" s="12"/>
      <c r="E300" s="12"/>
      <c r="F300" s="14">
        <v>0</v>
      </c>
      <c r="G300" s="14">
        <f t="shared" si="19"/>
        <v>0</v>
      </c>
    </row>
    <row r="301" spans="1:7" s="18" customFormat="1" ht="24" customHeight="1" outlineLevel="1" x14ac:dyDescent="0.2">
      <c r="A301" s="28" t="s">
        <v>73</v>
      </c>
      <c r="B301" s="22">
        <f>B302+B312</f>
        <v>182328710</v>
      </c>
      <c r="C301" s="22">
        <f t="shared" ref="C301:E301" si="21">C302+C312</f>
        <v>13880085</v>
      </c>
      <c r="D301" s="22">
        <f t="shared" si="21"/>
        <v>12941013.379999999</v>
      </c>
      <c r="E301" s="22">
        <f t="shared" si="21"/>
        <v>12941013.379999999</v>
      </c>
      <c r="F301" s="23">
        <f t="shared" si="18"/>
        <v>0.9323439575478103</v>
      </c>
      <c r="G301" s="23">
        <f t="shared" si="19"/>
        <v>7.0976278941478815E-2</v>
      </c>
    </row>
    <row r="302" spans="1:7" ht="26.25" customHeight="1" outlineLevel="2" x14ac:dyDescent="0.25">
      <c r="A302" s="5" t="s">
        <v>25</v>
      </c>
      <c r="B302" s="6">
        <f>SUM(B303:B311)</f>
        <v>135891697</v>
      </c>
      <c r="C302" s="6">
        <f>SUM(C303:C311)</f>
        <v>10264812</v>
      </c>
      <c r="D302" s="6">
        <v>9655737.1699999999</v>
      </c>
      <c r="E302" s="6">
        <v>9655737.1699999999</v>
      </c>
      <c r="F302" s="7">
        <f t="shared" si="18"/>
        <v>0.94066381050135162</v>
      </c>
      <c r="G302" s="7">
        <f t="shared" si="19"/>
        <v>7.1054651484704023E-2</v>
      </c>
    </row>
    <row r="303" spans="1:7" ht="12.75" customHeight="1" outlineLevel="3" x14ac:dyDescent="0.25">
      <c r="A303" s="10" t="s">
        <v>9</v>
      </c>
      <c r="B303" s="11">
        <v>101772123</v>
      </c>
      <c r="C303" s="30">
        <f>10760000-C313</f>
        <v>7975000</v>
      </c>
      <c r="D303" s="11">
        <v>7913038.5700000003</v>
      </c>
      <c r="E303" s="11">
        <v>7913038.5700000003</v>
      </c>
      <c r="F303" s="14">
        <f t="shared" si="18"/>
        <v>0.99223054169279001</v>
      </c>
      <c r="G303" s="14">
        <f t="shared" si="19"/>
        <v>7.7752515489924484E-2</v>
      </c>
    </row>
    <row r="304" spans="1:7" ht="12.75" customHeight="1" outlineLevel="3" x14ac:dyDescent="0.25">
      <c r="A304" s="10" t="s">
        <v>10</v>
      </c>
      <c r="B304" s="11">
        <v>22389867</v>
      </c>
      <c r="C304" s="30">
        <f>2367200-C314</f>
        <v>1754500</v>
      </c>
      <c r="D304" s="11">
        <v>1742698.6</v>
      </c>
      <c r="E304" s="11">
        <v>1742698.6</v>
      </c>
      <c r="F304" s="14">
        <f t="shared" si="18"/>
        <v>0.99327363921345113</v>
      </c>
      <c r="G304" s="14">
        <f t="shared" si="19"/>
        <v>7.7834254218660609E-2</v>
      </c>
    </row>
    <row r="305" spans="1:7" ht="12.75" customHeight="1" outlineLevel="3" x14ac:dyDescent="0.25">
      <c r="A305" s="10" t="s">
        <v>11</v>
      </c>
      <c r="B305" s="11">
        <v>1900000</v>
      </c>
      <c r="C305" s="31"/>
      <c r="D305" s="12"/>
      <c r="E305" s="12"/>
      <c r="F305" s="14">
        <v>0</v>
      </c>
      <c r="G305" s="14">
        <f t="shared" si="19"/>
        <v>0</v>
      </c>
    </row>
    <row r="306" spans="1:7" ht="12.75" customHeight="1" outlineLevel="3" x14ac:dyDescent="0.25">
      <c r="A306" s="10" t="s">
        <v>12</v>
      </c>
      <c r="B306" s="11">
        <v>5760684</v>
      </c>
      <c r="C306" s="30">
        <f>75000-C316</f>
        <v>25000</v>
      </c>
      <c r="D306" s="12"/>
      <c r="E306" s="12"/>
      <c r="F306" s="14">
        <f t="shared" si="18"/>
        <v>0</v>
      </c>
      <c r="G306" s="14">
        <f t="shared" si="19"/>
        <v>0</v>
      </c>
    </row>
    <row r="307" spans="1:7" ht="12.75" customHeight="1" outlineLevel="3" x14ac:dyDescent="0.25">
      <c r="A307" s="10" t="s">
        <v>13</v>
      </c>
      <c r="B307" s="11">
        <v>2820823</v>
      </c>
      <c r="C307" s="30">
        <f>543931-C317</f>
        <v>422658</v>
      </c>
      <c r="D307" s="12"/>
      <c r="E307" s="12"/>
      <c r="F307" s="14">
        <f t="shared" si="18"/>
        <v>0</v>
      </c>
      <c r="G307" s="14">
        <f t="shared" si="19"/>
        <v>0</v>
      </c>
    </row>
    <row r="308" spans="1:7" ht="12.75" customHeight="1" outlineLevel="3" x14ac:dyDescent="0.25">
      <c r="A308" s="10" t="s">
        <v>14</v>
      </c>
      <c r="B308" s="11">
        <v>109000</v>
      </c>
      <c r="C308" s="30">
        <f>15906-C318</f>
        <v>9730</v>
      </c>
      <c r="D308" s="12"/>
      <c r="E308" s="12"/>
      <c r="F308" s="14">
        <f t="shared" si="18"/>
        <v>0</v>
      </c>
      <c r="G308" s="14">
        <f t="shared" si="19"/>
        <v>0</v>
      </c>
    </row>
    <row r="309" spans="1:7" ht="12.75" customHeight="1" outlineLevel="3" x14ac:dyDescent="0.25">
      <c r="A309" s="10" t="s">
        <v>15</v>
      </c>
      <c r="B309" s="11">
        <v>619700</v>
      </c>
      <c r="C309" s="30">
        <f>114800-C319</f>
        <v>76300</v>
      </c>
      <c r="D309" s="12"/>
      <c r="E309" s="12"/>
      <c r="F309" s="14">
        <f t="shared" si="18"/>
        <v>0</v>
      </c>
      <c r="G309" s="14">
        <f t="shared" si="19"/>
        <v>0</v>
      </c>
    </row>
    <row r="310" spans="1:7" ht="12.75" customHeight="1" outlineLevel="3" x14ac:dyDescent="0.25">
      <c r="A310" s="10" t="s">
        <v>26</v>
      </c>
      <c r="B310" s="11">
        <v>19500</v>
      </c>
      <c r="C310" s="30">
        <f>3248-C320</f>
        <v>1624</v>
      </c>
      <c r="D310" s="12"/>
      <c r="E310" s="12"/>
      <c r="F310" s="14">
        <f t="shared" si="18"/>
        <v>0</v>
      </c>
      <c r="G310" s="14">
        <f t="shared" si="19"/>
        <v>0</v>
      </c>
    </row>
    <row r="311" spans="1:7" ht="12.75" customHeight="1" outlineLevel="3" x14ac:dyDescent="0.25">
      <c r="A311" s="10" t="s">
        <v>56</v>
      </c>
      <c r="B311" s="11">
        <v>500000</v>
      </c>
      <c r="C311" s="12"/>
      <c r="D311" s="12"/>
      <c r="E311" s="12"/>
      <c r="F311" s="14">
        <v>0</v>
      </c>
      <c r="G311" s="14">
        <f t="shared" si="19"/>
        <v>0</v>
      </c>
    </row>
    <row r="312" spans="1:7" ht="29.25" customHeight="1" outlineLevel="2" x14ac:dyDescent="0.25">
      <c r="A312" s="5" t="s">
        <v>39</v>
      </c>
      <c r="B312" s="6">
        <v>46437013</v>
      </c>
      <c r="C312" s="6">
        <v>3615273</v>
      </c>
      <c r="D312" s="6">
        <v>3285276.21</v>
      </c>
      <c r="E312" s="6">
        <v>3285276.21</v>
      </c>
      <c r="F312" s="7">
        <f t="shared" si="18"/>
        <v>0.90872147414593585</v>
      </c>
      <c r="G312" s="7">
        <f t="shared" si="19"/>
        <v>7.0746932193937628E-2</v>
      </c>
    </row>
    <row r="313" spans="1:7" ht="12.75" customHeight="1" outlineLevel="3" x14ac:dyDescent="0.25">
      <c r="A313" s="10" t="s">
        <v>9</v>
      </c>
      <c r="B313" s="11">
        <v>35539000</v>
      </c>
      <c r="C313" s="11">
        <v>2785000</v>
      </c>
      <c r="D313" s="11">
        <v>2692779.48</v>
      </c>
      <c r="E313" s="11">
        <v>2692779.48</v>
      </c>
      <c r="F313" s="14">
        <f t="shared" ref="F313:F338" si="22">D313/C313</f>
        <v>0.9668867073608618</v>
      </c>
      <c r="G313" s="14">
        <f t="shared" si="19"/>
        <v>7.5769703143025974E-2</v>
      </c>
    </row>
    <row r="314" spans="1:7" ht="12.75" customHeight="1" outlineLevel="3" x14ac:dyDescent="0.25">
      <c r="A314" s="10" t="s">
        <v>10</v>
      </c>
      <c r="B314" s="11">
        <v>7818580</v>
      </c>
      <c r="C314" s="11">
        <v>612700</v>
      </c>
      <c r="D314" s="11">
        <v>592496.73</v>
      </c>
      <c r="E314" s="11">
        <v>592496.73</v>
      </c>
      <c r="F314" s="14">
        <f t="shared" si="22"/>
        <v>0.96702583646156359</v>
      </c>
      <c r="G314" s="14">
        <f t="shared" si="19"/>
        <v>7.5780605941232287E-2</v>
      </c>
    </row>
    <row r="315" spans="1:7" ht="12.75" customHeight="1" outlineLevel="3" x14ac:dyDescent="0.25">
      <c r="A315" s="10" t="s">
        <v>11</v>
      </c>
      <c r="B315" s="11">
        <v>300000</v>
      </c>
      <c r="C315" s="12"/>
      <c r="D315" s="12"/>
      <c r="E315" s="12"/>
      <c r="F315" s="14">
        <v>0</v>
      </c>
      <c r="G315" s="14">
        <f t="shared" si="19"/>
        <v>0</v>
      </c>
    </row>
    <row r="316" spans="1:7" ht="12.75" customHeight="1" outlineLevel="3" x14ac:dyDescent="0.25">
      <c r="A316" s="10" t="s">
        <v>12</v>
      </c>
      <c r="B316" s="11">
        <v>1600000</v>
      </c>
      <c r="C316" s="11">
        <v>50000</v>
      </c>
      <c r="D316" s="12"/>
      <c r="E316" s="12"/>
      <c r="F316" s="14">
        <f t="shared" si="22"/>
        <v>0</v>
      </c>
      <c r="G316" s="14">
        <f t="shared" si="19"/>
        <v>0</v>
      </c>
    </row>
    <row r="317" spans="1:7" ht="12.75" customHeight="1" outlineLevel="3" x14ac:dyDescent="0.25">
      <c r="A317" s="10" t="s">
        <v>13</v>
      </c>
      <c r="B317" s="11">
        <v>778323</v>
      </c>
      <c r="C317" s="11">
        <v>121273</v>
      </c>
      <c r="D317" s="12"/>
      <c r="E317" s="12"/>
      <c r="F317" s="14">
        <f t="shared" si="22"/>
        <v>0</v>
      </c>
      <c r="G317" s="14">
        <f t="shared" si="19"/>
        <v>0</v>
      </c>
    </row>
    <row r="318" spans="1:7" ht="12.75" customHeight="1" outlineLevel="3" x14ac:dyDescent="0.25">
      <c r="A318" s="10" t="s">
        <v>14</v>
      </c>
      <c r="B318" s="11">
        <v>73110</v>
      </c>
      <c r="C318" s="11">
        <v>6176</v>
      </c>
      <c r="D318" s="12"/>
      <c r="E318" s="12"/>
      <c r="F318" s="14">
        <f t="shared" si="22"/>
        <v>0</v>
      </c>
      <c r="G318" s="14">
        <f t="shared" si="19"/>
        <v>0</v>
      </c>
    </row>
    <row r="319" spans="1:7" ht="12.75" customHeight="1" outlineLevel="3" x14ac:dyDescent="0.25">
      <c r="A319" s="10" t="s">
        <v>15</v>
      </c>
      <c r="B319" s="11">
        <v>308500</v>
      </c>
      <c r="C319" s="11">
        <v>38500</v>
      </c>
      <c r="D319" s="12"/>
      <c r="E319" s="12"/>
      <c r="F319" s="14">
        <f t="shared" si="22"/>
        <v>0</v>
      </c>
      <c r="G319" s="14">
        <f t="shared" si="19"/>
        <v>0</v>
      </c>
    </row>
    <row r="320" spans="1:7" ht="12.75" customHeight="1" outlineLevel="3" x14ac:dyDescent="0.25">
      <c r="A320" s="10" t="s">
        <v>26</v>
      </c>
      <c r="B320" s="11">
        <v>19500</v>
      </c>
      <c r="C320" s="11">
        <v>1624</v>
      </c>
      <c r="D320" s="12"/>
      <c r="E320" s="12"/>
      <c r="F320" s="14">
        <f t="shared" si="22"/>
        <v>0</v>
      </c>
      <c r="G320" s="14">
        <f t="shared" si="19"/>
        <v>0</v>
      </c>
    </row>
    <row r="321" spans="1:7" s="18" customFormat="1" ht="18" customHeight="1" outlineLevel="1" x14ac:dyDescent="0.2">
      <c r="A321" s="28" t="s">
        <v>74</v>
      </c>
      <c r="B321" s="22">
        <v>62760224</v>
      </c>
      <c r="C321" s="22">
        <f>C322</f>
        <v>4793795</v>
      </c>
      <c r="D321" s="22">
        <v>4019671.43</v>
      </c>
      <c r="E321" s="22">
        <v>4019671.43</v>
      </c>
      <c r="F321" s="23">
        <f t="shared" si="22"/>
        <v>0.83851550389618246</v>
      </c>
      <c r="G321" s="23">
        <f t="shared" si="19"/>
        <v>6.4048073346583342E-2</v>
      </c>
    </row>
    <row r="322" spans="1:7" ht="28.5" customHeight="1" outlineLevel="2" x14ac:dyDescent="0.25">
      <c r="A322" s="5" t="s">
        <v>23</v>
      </c>
      <c r="B322" s="6">
        <f>SUM(B323:B332)</f>
        <v>62877874</v>
      </c>
      <c r="C322" s="6">
        <f>SUM(C323:C332)</f>
        <v>4793795</v>
      </c>
      <c r="D322" s="6">
        <v>4019671.43</v>
      </c>
      <c r="E322" s="6">
        <v>4019671.43</v>
      </c>
      <c r="F322" s="7">
        <f t="shared" si="22"/>
        <v>0.83851550389618246</v>
      </c>
      <c r="G322" s="7">
        <f t="shared" si="19"/>
        <v>6.3928233801289147E-2</v>
      </c>
    </row>
    <row r="323" spans="1:7" ht="13.5" customHeight="1" outlineLevel="3" x14ac:dyDescent="0.25">
      <c r="A323" s="10" t="s">
        <v>9</v>
      </c>
      <c r="B323" s="11">
        <v>43771578</v>
      </c>
      <c r="C323" s="30">
        <v>3500000</v>
      </c>
      <c r="D323" s="11">
        <v>3299232.57</v>
      </c>
      <c r="E323" s="11">
        <v>3299232.57</v>
      </c>
      <c r="F323" s="14">
        <f t="shared" si="22"/>
        <v>0.94263787714285707</v>
      </c>
      <c r="G323" s="14">
        <f t="shared" si="19"/>
        <v>7.5373854924764186E-2</v>
      </c>
    </row>
    <row r="324" spans="1:7" ht="13.5" customHeight="1" outlineLevel="3" x14ac:dyDescent="0.25">
      <c r="A324" s="10" t="s">
        <v>10</v>
      </c>
      <c r="B324" s="11">
        <v>9629747</v>
      </c>
      <c r="C324" s="30">
        <v>770000</v>
      </c>
      <c r="D324" s="11">
        <v>720438.86</v>
      </c>
      <c r="E324" s="11">
        <v>720438.86</v>
      </c>
      <c r="F324" s="14">
        <f t="shared" si="22"/>
        <v>0.93563488311688314</v>
      </c>
      <c r="G324" s="14">
        <f t="shared" si="19"/>
        <v>7.4813892826052442E-2</v>
      </c>
    </row>
    <row r="325" spans="1:7" ht="13.5" customHeight="1" outlineLevel="3" x14ac:dyDescent="0.25">
      <c r="A325" s="10" t="s">
        <v>11</v>
      </c>
      <c r="B325" s="11">
        <v>805430</v>
      </c>
      <c r="C325" s="31"/>
      <c r="D325" s="12"/>
      <c r="E325" s="12"/>
      <c r="F325" s="14">
        <v>0</v>
      </c>
      <c r="G325" s="14">
        <f t="shared" si="19"/>
        <v>0</v>
      </c>
    </row>
    <row r="326" spans="1:7" ht="13.5" customHeight="1" outlineLevel="3" x14ac:dyDescent="0.25">
      <c r="A326" s="10" t="s">
        <v>12</v>
      </c>
      <c r="B326" s="11">
        <v>6900000</v>
      </c>
      <c r="C326" s="30">
        <v>300000</v>
      </c>
      <c r="D326" s="12"/>
      <c r="E326" s="12"/>
      <c r="F326" s="14">
        <f t="shared" si="22"/>
        <v>0</v>
      </c>
      <c r="G326" s="14">
        <f t="shared" si="19"/>
        <v>0</v>
      </c>
    </row>
    <row r="327" spans="1:7" ht="13.5" customHeight="1" outlineLevel="3" x14ac:dyDescent="0.25">
      <c r="A327" s="10" t="s">
        <v>13</v>
      </c>
      <c r="B327" s="11">
        <v>761088</v>
      </c>
      <c r="C327" s="30">
        <v>119846</v>
      </c>
      <c r="D327" s="12"/>
      <c r="E327" s="12"/>
      <c r="F327" s="14">
        <f t="shared" si="22"/>
        <v>0</v>
      </c>
      <c r="G327" s="14">
        <f t="shared" ref="G327:G390" si="23">D327/B327</f>
        <v>0</v>
      </c>
    </row>
    <row r="328" spans="1:7" ht="13.5" customHeight="1" outlineLevel="3" x14ac:dyDescent="0.25">
      <c r="A328" s="10" t="s">
        <v>14</v>
      </c>
      <c r="B328" s="11">
        <v>101851</v>
      </c>
      <c r="C328" s="30">
        <v>6521</v>
      </c>
      <c r="D328" s="12"/>
      <c r="E328" s="12"/>
      <c r="F328" s="14">
        <f t="shared" si="22"/>
        <v>0</v>
      </c>
      <c r="G328" s="14">
        <f t="shared" si="23"/>
        <v>0</v>
      </c>
    </row>
    <row r="329" spans="1:7" ht="13.5" customHeight="1" outlineLevel="3" x14ac:dyDescent="0.25">
      <c r="A329" s="10" t="s">
        <v>15</v>
      </c>
      <c r="B329" s="11">
        <v>744290</v>
      </c>
      <c r="C329" s="30">
        <v>95600</v>
      </c>
      <c r="D329" s="12"/>
      <c r="E329" s="12"/>
      <c r="F329" s="14">
        <f t="shared" si="22"/>
        <v>0</v>
      </c>
      <c r="G329" s="14">
        <f t="shared" si="23"/>
        <v>0</v>
      </c>
    </row>
    <row r="330" spans="1:7" ht="13.5" customHeight="1" outlineLevel="3" x14ac:dyDescent="0.25">
      <c r="A330" s="10" t="s">
        <v>26</v>
      </c>
      <c r="B330" s="11">
        <v>40240</v>
      </c>
      <c r="C330" s="30">
        <v>1828</v>
      </c>
      <c r="D330" s="12"/>
      <c r="E330" s="12"/>
      <c r="F330" s="14">
        <f t="shared" si="22"/>
        <v>0</v>
      </c>
      <c r="G330" s="14">
        <f t="shared" si="23"/>
        <v>0</v>
      </c>
    </row>
    <row r="331" spans="1:7" ht="27" customHeight="1" outlineLevel="3" x14ac:dyDescent="0.25">
      <c r="A331" s="10" t="s">
        <v>16</v>
      </c>
      <c r="B331" s="11">
        <v>6000</v>
      </c>
      <c r="C331" s="12"/>
      <c r="D331" s="12"/>
      <c r="E331" s="12"/>
      <c r="F331" s="14">
        <v>0</v>
      </c>
      <c r="G331" s="14">
        <f t="shared" si="23"/>
        <v>0</v>
      </c>
    </row>
    <row r="332" spans="1:7" ht="16.5" customHeight="1" outlineLevel="1" x14ac:dyDescent="0.25">
      <c r="A332" s="28" t="s">
        <v>75</v>
      </c>
      <c r="B332" s="22">
        <v>117650</v>
      </c>
      <c r="C332" s="38"/>
      <c r="D332" s="38"/>
      <c r="E332" s="38"/>
      <c r="F332" s="23">
        <v>0</v>
      </c>
      <c r="G332" s="23">
        <f t="shared" si="23"/>
        <v>0</v>
      </c>
    </row>
    <row r="333" spans="1:7" ht="29.25" customHeight="1" outlineLevel="2" x14ac:dyDescent="0.25">
      <c r="A333" s="5" t="s">
        <v>23</v>
      </c>
      <c r="B333" s="6">
        <v>117650</v>
      </c>
      <c r="C333" s="15"/>
      <c r="D333" s="15"/>
      <c r="E333" s="15"/>
      <c r="F333" s="7">
        <v>0</v>
      </c>
      <c r="G333" s="7">
        <f t="shared" si="23"/>
        <v>0</v>
      </c>
    </row>
    <row r="334" spans="1:7" ht="18.75" customHeight="1" outlineLevel="3" x14ac:dyDescent="0.25">
      <c r="A334" s="10" t="s">
        <v>40</v>
      </c>
      <c r="B334" s="11">
        <v>117650</v>
      </c>
      <c r="C334" s="12"/>
      <c r="D334" s="12"/>
      <c r="E334" s="12"/>
      <c r="F334" s="14">
        <v>0</v>
      </c>
      <c r="G334" s="14">
        <f t="shared" si="23"/>
        <v>0</v>
      </c>
    </row>
    <row r="335" spans="1:7" ht="30" customHeight="1" outlineLevel="1" x14ac:dyDescent="0.25">
      <c r="A335" s="28" t="s">
        <v>76</v>
      </c>
      <c r="B335" s="22">
        <v>10470123</v>
      </c>
      <c r="C335" s="22">
        <v>1021578</v>
      </c>
      <c r="D335" s="22">
        <v>591009.9</v>
      </c>
      <c r="E335" s="22">
        <v>591009.9</v>
      </c>
      <c r="F335" s="23">
        <f t="shared" si="22"/>
        <v>0.57852645612963471</v>
      </c>
      <c r="G335" s="23">
        <f t="shared" si="23"/>
        <v>5.644727382858826E-2</v>
      </c>
    </row>
    <row r="336" spans="1:7" ht="15.75" customHeight="1" outlineLevel="2" x14ac:dyDescent="0.25">
      <c r="A336" s="5" t="s">
        <v>41</v>
      </c>
      <c r="B336" s="6">
        <v>4557928</v>
      </c>
      <c r="C336" s="6">
        <v>324618</v>
      </c>
      <c r="D336" s="6">
        <v>245749.9</v>
      </c>
      <c r="E336" s="6">
        <v>245749.9</v>
      </c>
      <c r="F336" s="7">
        <f t="shared" si="22"/>
        <v>0.75704335557486024</v>
      </c>
      <c r="G336" s="7">
        <f t="shared" si="23"/>
        <v>5.3917021067467499E-2</v>
      </c>
    </row>
    <row r="337" spans="1:7" ht="12.75" customHeight="1" outlineLevel="3" x14ac:dyDescent="0.25">
      <c r="A337" s="10" t="s">
        <v>9</v>
      </c>
      <c r="B337" s="11">
        <v>2867866</v>
      </c>
      <c r="C337" s="11">
        <v>215900</v>
      </c>
      <c r="D337" s="11">
        <v>201434.35</v>
      </c>
      <c r="E337" s="11">
        <v>201434.35</v>
      </c>
      <c r="F337" s="14">
        <f t="shared" si="22"/>
        <v>0.93299837887911075</v>
      </c>
      <c r="G337" s="14">
        <f t="shared" si="23"/>
        <v>7.0238410720724051E-2</v>
      </c>
    </row>
    <row r="338" spans="1:7" ht="12.75" customHeight="1" outlineLevel="3" x14ac:dyDescent="0.25">
      <c r="A338" s="10" t="s">
        <v>10</v>
      </c>
      <c r="B338" s="11">
        <v>630930</v>
      </c>
      <c r="C338" s="11">
        <v>47498</v>
      </c>
      <c r="D338" s="11">
        <v>44315.55</v>
      </c>
      <c r="E338" s="11">
        <v>44315.55</v>
      </c>
      <c r="F338" s="14">
        <f t="shared" si="22"/>
        <v>0.93299823150448447</v>
      </c>
      <c r="G338" s="14">
        <f t="shared" si="23"/>
        <v>7.0238457515096761E-2</v>
      </c>
    </row>
    <row r="339" spans="1:7" ht="12.75" customHeight="1" outlineLevel="3" x14ac:dyDescent="0.25">
      <c r="A339" s="10" t="s">
        <v>11</v>
      </c>
      <c r="B339" s="11">
        <v>409500</v>
      </c>
      <c r="C339" s="12"/>
      <c r="D339" s="12"/>
      <c r="E339" s="12"/>
      <c r="F339" s="14">
        <v>0</v>
      </c>
      <c r="G339" s="14">
        <f t="shared" si="23"/>
        <v>0</v>
      </c>
    </row>
    <row r="340" spans="1:7" ht="12.75" customHeight="1" outlineLevel="3" x14ac:dyDescent="0.25">
      <c r="A340" s="10" t="s">
        <v>12</v>
      </c>
      <c r="B340" s="11">
        <v>300600</v>
      </c>
      <c r="C340" s="11">
        <v>15000</v>
      </c>
      <c r="D340" s="12"/>
      <c r="E340" s="12"/>
      <c r="F340" s="14">
        <f t="shared" ref="F340:F403" si="24">D340/C340</f>
        <v>0</v>
      </c>
      <c r="G340" s="14">
        <f t="shared" si="23"/>
        <v>0</v>
      </c>
    </row>
    <row r="341" spans="1:7" ht="12.75" customHeight="1" outlineLevel="3" x14ac:dyDescent="0.25">
      <c r="A341" s="10" t="s">
        <v>13</v>
      </c>
      <c r="B341" s="11">
        <v>192719</v>
      </c>
      <c r="C341" s="11">
        <v>32000</v>
      </c>
      <c r="D341" s="12"/>
      <c r="E341" s="12"/>
      <c r="F341" s="14">
        <f t="shared" si="24"/>
        <v>0</v>
      </c>
      <c r="G341" s="14">
        <f t="shared" si="23"/>
        <v>0</v>
      </c>
    </row>
    <row r="342" spans="1:7" ht="12.75" customHeight="1" outlineLevel="3" x14ac:dyDescent="0.25">
      <c r="A342" s="10" t="s">
        <v>14</v>
      </c>
      <c r="B342" s="11">
        <v>15549</v>
      </c>
      <c r="C342" s="11">
        <v>1500</v>
      </c>
      <c r="D342" s="12"/>
      <c r="E342" s="12"/>
      <c r="F342" s="14">
        <f t="shared" si="24"/>
        <v>0</v>
      </c>
      <c r="G342" s="14">
        <f t="shared" si="23"/>
        <v>0</v>
      </c>
    </row>
    <row r="343" spans="1:7" ht="12.75" customHeight="1" outlineLevel="3" x14ac:dyDescent="0.25">
      <c r="A343" s="10" t="s">
        <v>15</v>
      </c>
      <c r="B343" s="11">
        <v>137764</v>
      </c>
      <c r="C343" s="11">
        <v>12720</v>
      </c>
      <c r="D343" s="12"/>
      <c r="E343" s="12"/>
      <c r="F343" s="14">
        <f t="shared" si="24"/>
        <v>0</v>
      </c>
      <c r="G343" s="14">
        <f t="shared" si="23"/>
        <v>0</v>
      </c>
    </row>
    <row r="344" spans="1:7" ht="28.5" customHeight="1" outlineLevel="3" x14ac:dyDescent="0.25">
      <c r="A344" s="10" t="s">
        <v>16</v>
      </c>
      <c r="B344" s="11">
        <v>3000</v>
      </c>
      <c r="C344" s="12"/>
      <c r="D344" s="12"/>
      <c r="E344" s="12"/>
      <c r="F344" s="14">
        <v>0</v>
      </c>
      <c r="G344" s="14">
        <f t="shared" si="23"/>
        <v>0</v>
      </c>
    </row>
    <row r="345" spans="1:7" ht="15.75" customHeight="1" outlineLevel="2" x14ac:dyDescent="0.25">
      <c r="A345" s="5" t="s">
        <v>42</v>
      </c>
      <c r="B345" s="6">
        <v>5912195</v>
      </c>
      <c r="C345" s="6">
        <v>696960</v>
      </c>
      <c r="D345" s="6">
        <v>345260</v>
      </c>
      <c r="E345" s="6">
        <v>345260</v>
      </c>
      <c r="F345" s="7">
        <f t="shared" si="24"/>
        <v>0.49537993572084482</v>
      </c>
      <c r="G345" s="7">
        <f t="shared" si="23"/>
        <v>5.8397938498307315E-2</v>
      </c>
    </row>
    <row r="346" spans="1:7" ht="15.75" customHeight="1" outlineLevel="3" x14ac:dyDescent="0.25">
      <c r="A346" s="10" t="s">
        <v>9</v>
      </c>
      <c r="B346" s="11">
        <v>3624012</v>
      </c>
      <c r="C346" s="11">
        <v>283000</v>
      </c>
      <c r="D346" s="11">
        <v>283000</v>
      </c>
      <c r="E346" s="11">
        <v>283000</v>
      </c>
      <c r="F346" s="14">
        <f t="shared" si="24"/>
        <v>1</v>
      </c>
      <c r="G346" s="14">
        <f t="shared" si="23"/>
        <v>7.8090249149285376E-2</v>
      </c>
    </row>
    <row r="347" spans="1:7" ht="15.75" customHeight="1" outlineLevel="3" x14ac:dyDescent="0.25">
      <c r="A347" s="10" t="s">
        <v>10</v>
      </c>
      <c r="B347" s="11">
        <v>797283</v>
      </c>
      <c r="C347" s="11">
        <v>62260</v>
      </c>
      <c r="D347" s="11">
        <v>62260</v>
      </c>
      <c r="E347" s="11">
        <v>62260</v>
      </c>
      <c r="F347" s="14">
        <f t="shared" si="24"/>
        <v>1</v>
      </c>
      <c r="G347" s="14">
        <f t="shared" si="23"/>
        <v>7.8090213888920249E-2</v>
      </c>
    </row>
    <row r="348" spans="1:7" ht="15.75" customHeight="1" outlineLevel="3" x14ac:dyDescent="0.25">
      <c r="A348" s="10" t="s">
        <v>11</v>
      </c>
      <c r="B348" s="11">
        <v>290500</v>
      </c>
      <c r="C348" s="11">
        <v>100000</v>
      </c>
      <c r="D348" s="12"/>
      <c r="E348" s="12"/>
      <c r="F348" s="14">
        <f t="shared" si="24"/>
        <v>0</v>
      </c>
      <c r="G348" s="14">
        <f t="shared" si="23"/>
        <v>0</v>
      </c>
    </row>
    <row r="349" spans="1:7" ht="15.75" customHeight="1" outlineLevel="3" x14ac:dyDescent="0.25">
      <c r="A349" s="10" t="s">
        <v>12</v>
      </c>
      <c r="B349" s="11">
        <v>899400</v>
      </c>
      <c r="C349" s="11">
        <v>200000</v>
      </c>
      <c r="D349" s="12"/>
      <c r="E349" s="12"/>
      <c r="F349" s="14">
        <f t="shared" si="24"/>
        <v>0</v>
      </c>
      <c r="G349" s="14">
        <f t="shared" si="23"/>
        <v>0</v>
      </c>
    </row>
    <row r="350" spans="1:7" ht="15.75" customHeight="1" outlineLevel="3" x14ac:dyDescent="0.25">
      <c r="A350" s="10" t="s">
        <v>13</v>
      </c>
      <c r="B350" s="11">
        <v>203000</v>
      </c>
      <c r="C350" s="11">
        <v>42000</v>
      </c>
      <c r="D350" s="12"/>
      <c r="E350" s="12"/>
      <c r="F350" s="14">
        <f t="shared" si="24"/>
        <v>0</v>
      </c>
      <c r="G350" s="14">
        <f t="shared" si="23"/>
        <v>0</v>
      </c>
    </row>
    <row r="351" spans="1:7" ht="15.75" customHeight="1" outlineLevel="3" x14ac:dyDescent="0.25">
      <c r="A351" s="10" t="s">
        <v>14</v>
      </c>
      <c r="B351" s="11">
        <v>20000</v>
      </c>
      <c r="C351" s="11">
        <v>1700</v>
      </c>
      <c r="D351" s="12"/>
      <c r="E351" s="12"/>
      <c r="F351" s="14">
        <f t="shared" si="24"/>
        <v>0</v>
      </c>
      <c r="G351" s="14">
        <f t="shared" si="23"/>
        <v>0</v>
      </c>
    </row>
    <row r="352" spans="1:7" ht="15.75" customHeight="1" outlineLevel="3" x14ac:dyDescent="0.25">
      <c r="A352" s="10" t="s">
        <v>15</v>
      </c>
      <c r="B352" s="11">
        <v>75000</v>
      </c>
      <c r="C352" s="11">
        <v>8000</v>
      </c>
      <c r="D352" s="12"/>
      <c r="E352" s="12"/>
      <c r="F352" s="14">
        <f t="shared" si="24"/>
        <v>0</v>
      </c>
      <c r="G352" s="14">
        <f t="shared" si="23"/>
        <v>0</v>
      </c>
    </row>
    <row r="353" spans="1:7" ht="28.5" customHeight="1" outlineLevel="3" x14ac:dyDescent="0.25">
      <c r="A353" s="10" t="s">
        <v>16</v>
      </c>
      <c r="B353" s="11">
        <v>3000</v>
      </c>
      <c r="C353" s="12"/>
      <c r="D353" s="12"/>
      <c r="E353" s="12"/>
      <c r="F353" s="14">
        <v>0</v>
      </c>
      <c r="G353" s="14">
        <f t="shared" si="23"/>
        <v>0</v>
      </c>
    </row>
    <row r="354" spans="1:7" s="18" customFormat="1" ht="26.1" customHeight="1" outlineLevel="1" x14ac:dyDescent="0.2">
      <c r="A354" s="28" t="s">
        <v>77</v>
      </c>
      <c r="B354" s="22">
        <v>5791281</v>
      </c>
      <c r="C354" s="22">
        <v>705504</v>
      </c>
      <c r="D354" s="22">
        <v>705504</v>
      </c>
      <c r="E354" s="22">
        <v>548457.28</v>
      </c>
      <c r="F354" s="23">
        <f t="shared" si="24"/>
        <v>1</v>
      </c>
      <c r="G354" s="23">
        <f t="shared" si="23"/>
        <v>0.12182175238949725</v>
      </c>
    </row>
    <row r="355" spans="1:7" ht="15.75" customHeight="1" outlineLevel="2" x14ac:dyDescent="0.25">
      <c r="A355" s="5" t="s">
        <v>41</v>
      </c>
      <c r="B355" s="6">
        <v>2528513</v>
      </c>
      <c r="C355" s="6">
        <v>308023</v>
      </c>
      <c r="D355" s="6">
        <v>308023</v>
      </c>
      <c r="E355" s="6">
        <v>218730.2</v>
      </c>
      <c r="F355" s="7">
        <f t="shared" si="24"/>
        <v>1</v>
      </c>
      <c r="G355" s="7">
        <f t="shared" si="23"/>
        <v>0.1218198205822948</v>
      </c>
    </row>
    <row r="356" spans="1:7" ht="15.75" customHeight="1" outlineLevel="3" x14ac:dyDescent="0.25">
      <c r="A356" s="10" t="s">
        <v>9</v>
      </c>
      <c r="B356" s="11">
        <v>2072552</v>
      </c>
      <c r="C356" s="11">
        <v>252478</v>
      </c>
      <c r="D356" s="11">
        <v>252478</v>
      </c>
      <c r="E356" s="11">
        <v>181919.93</v>
      </c>
      <c r="F356" s="14">
        <f t="shared" si="24"/>
        <v>1</v>
      </c>
      <c r="G356" s="14">
        <f t="shared" si="23"/>
        <v>0.12181986266207072</v>
      </c>
    </row>
    <row r="357" spans="1:7" ht="15.75" customHeight="1" outlineLevel="3" x14ac:dyDescent="0.25">
      <c r="A357" s="10" t="s">
        <v>10</v>
      </c>
      <c r="B357" s="11">
        <v>455961</v>
      </c>
      <c r="C357" s="11">
        <v>55545</v>
      </c>
      <c r="D357" s="11">
        <v>55545</v>
      </c>
      <c r="E357" s="11">
        <v>36810.269999999997</v>
      </c>
      <c r="F357" s="14">
        <f t="shared" si="24"/>
        <v>1</v>
      </c>
      <c r="G357" s="14">
        <f t="shared" si="23"/>
        <v>0.12181962931040155</v>
      </c>
    </row>
    <row r="358" spans="1:7" ht="15.75" customHeight="1" outlineLevel="2" x14ac:dyDescent="0.25">
      <c r="A358" s="5" t="s">
        <v>42</v>
      </c>
      <c r="B358" s="6">
        <v>3262768</v>
      </c>
      <c r="C358" s="6">
        <v>397481</v>
      </c>
      <c r="D358" s="6">
        <v>397481</v>
      </c>
      <c r="E358" s="6">
        <v>329727.08</v>
      </c>
      <c r="F358" s="7">
        <f t="shared" si="24"/>
        <v>1</v>
      </c>
      <c r="G358" s="7">
        <f t="shared" si="23"/>
        <v>0.12182324946180666</v>
      </c>
    </row>
    <row r="359" spans="1:7" ht="15.75" customHeight="1" outlineLevel="3" x14ac:dyDescent="0.25">
      <c r="A359" s="10" t="s">
        <v>9</v>
      </c>
      <c r="B359" s="11">
        <v>2674400</v>
      </c>
      <c r="C359" s="11">
        <v>325804</v>
      </c>
      <c r="D359" s="11">
        <v>325804</v>
      </c>
      <c r="E359" s="11">
        <v>272664.59999999998</v>
      </c>
      <c r="F359" s="14">
        <f t="shared" si="24"/>
        <v>1</v>
      </c>
      <c r="G359" s="14">
        <f t="shared" si="23"/>
        <v>0.12182321268321866</v>
      </c>
    </row>
    <row r="360" spans="1:7" ht="15.75" customHeight="1" outlineLevel="3" x14ac:dyDescent="0.25">
      <c r="A360" s="10" t="s">
        <v>10</v>
      </c>
      <c r="B360" s="11">
        <v>588368</v>
      </c>
      <c r="C360" s="11">
        <v>71677</v>
      </c>
      <c r="D360" s="11">
        <v>71677</v>
      </c>
      <c r="E360" s="11">
        <v>57062.48</v>
      </c>
      <c r="F360" s="14">
        <f t="shared" si="24"/>
        <v>1</v>
      </c>
      <c r="G360" s="14">
        <f t="shared" si="23"/>
        <v>0.12182341663720665</v>
      </c>
    </row>
    <row r="361" spans="1:7" ht="39.75" customHeight="1" outlineLevel="1" x14ac:dyDescent="0.25">
      <c r="A361" s="28" t="s">
        <v>78</v>
      </c>
      <c r="B361" s="22">
        <v>88849153</v>
      </c>
      <c r="C361" s="22">
        <v>14808194</v>
      </c>
      <c r="D361" s="22">
        <v>14808194</v>
      </c>
      <c r="E361" s="22">
        <v>12579603.18</v>
      </c>
      <c r="F361" s="23">
        <f t="shared" si="24"/>
        <v>1</v>
      </c>
      <c r="G361" s="23">
        <f t="shared" si="23"/>
        <v>0.16666668730089076</v>
      </c>
    </row>
    <row r="362" spans="1:7" ht="14.25" customHeight="1" outlineLevel="2" x14ac:dyDescent="0.25">
      <c r="A362" s="5" t="s">
        <v>28</v>
      </c>
      <c r="B362" s="6">
        <v>3519396</v>
      </c>
      <c r="C362" s="6">
        <v>586566</v>
      </c>
      <c r="D362" s="6">
        <v>586566</v>
      </c>
      <c r="E362" s="6">
        <v>507457.8</v>
      </c>
      <c r="F362" s="7">
        <f t="shared" si="24"/>
        <v>1</v>
      </c>
      <c r="G362" s="7">
        <f t="shared" si="23"/>
        <v>0.16666666666666666</v>
      </c>
    </row>
    <row r="363" spans="1:7" ht="14.25" customHeight="1" outlineLevel="3" x14ac:dyDescent="0.25">
      <c r="A363" s="10" t="s">
        <v>9</v>
      </c>
      <c r="B363" s="11">
        <v>2884752</v>
      </c>
      <c r="C363" s="11">
        <v>480792</v>
      </c>
      <c r="D363" s="11">
        <v>480792</v>
      </c>
      <c r="E363" s="11">
        <v>415949.02</v>
      </c>
      <c r="F363" s="14">
        <f t="shared" si="24"/>
        <v>1</v>
      </c>
      <c r="G363" s="14">
        <f t="shared" si="23"/>
        <v>0.16666666666666666</v>
      </c>
    </row>
    <row r="364" spans="1:7" ht="14.25" customHeight="1" outlineLevel="3" x14ac:dyDescent="0.25">
      <c r="A364" s="10" t="s">
        <v>10</v>
      </c>
      <c r="B364" s="11">
        <v>634644</v>
      </c>
      <c r="C364" s="11">
        <v>105774</v>
      </c>
      <c r="D364" s="11">
        <v>105774</v>
      </c>
      <c r="E364" s="11">
        <v>91508.78</v>
      </c>
      <c r="F364" s="14">
        <f t="shared" si="24"/>
        <v>1</v>
      </c>
      <c r="G364" s="14">
        <f t="shared" si="23"/>
        <v>0.16666666666666666</v>
      </c>
    </row>
    <row r="365" spans="1:7" ht="14.25" customHeight="1" outlineLevel="2" x14ac:dyDescent="0.25">
      <c r="A365" s="5" t="s">
        <v>33</v>
      </c>
      <c r="B365" s="6">
        <v>3754254</v>
      </c>
      <c r="C365" s="6">
        <v>625709</v>
      </c>
      <c r="D365" s="6">
        <v>625709</v>
      </c>
      <c r="E365" s="6">
        <v>548730.18000000005</v>
      </c>
      <c r="F365" s="7">
        <f t="shared" si="24"/>
        <v>1</v>
      </c>
      <c r="G365" s="7">
        <f t="shared" si="23"/>
        <v>0.16666666666666666</v>
      </c>
    </row>
    <row r="366" spans="1:7" ht="14.25" customHeight="1" outlineLevel="3" x14ac:dyDescent="0.25">
      <c r="A366" s="10" t="s">
        <v>9</v>
      </c>
      <c r="B366" s="11">
        <v>3077256</v>
      </c>
      <c r="C366" s="11">
        <v>512876</v>
      </c>
      <c r="D366" s="11">
        <v>512876</v>
      </c>
      <c r="E366" s="11">
        <v>449778.84</v>
      </c>
      <c r="F366" s="14">
        <f t="shared" si="24"/>
        <v>1</v>
      </c>
      <c r="G366" s="14">
        <f t="shared" si="23"/>
        <v>0.16666666666666666</v>
      </c>
    </row>
    <row r="367" spans="1:7" ht="14.25" customHeight="1" outlineLevel="3" x14ac:dyDescent="0.25">
      <c r="A367" s="10" t="s">
        <v>10</v>
      </c>
      <c r="B367" s="11">
        <v>676998</v>
      </c>
      <c r="C367" s="11">
        <v>112833</v>
      </c>
      <c r="D367" s="11">
        <v>112833</v>
      </c>
      <c r="E367" s="11">
        <v>98951.34</v>
      </c>
      <c r="F367" s="14">
        <f t="shared" si="24"/>
        <v>1</v>
      </c>
      <c r="G367" s="14">
        <f t="shared" si="23"/>
        <v>0.16666666666666666</v>
      </c>
    </row>
    <row r="368" spans="1:7" ht="14.25" customHeight="1" outlineLevel="2" x14ac:dyDescent="0.25">
      <c r="A368" s="5" t="s">
        <v>30</v>
      </c>
      <c r="B368" s="6">
        <v>4927422</v>
      </c>
      <c r="C368" s="6">
        <v>821237</v>
      </c>
      <c r="D368" s="6">
        <v>821237</v>
      </c>
      <c r="E368" s="6">
        <v>677121.41</v>
      </c>
      <c r="F368" s="7">
        <f t="shared" si="24"/>
        <v>1</v>
      </c>
      <c r="G368" s="7">
        <f t="shared" si="23"/>
        <v>0.16666666666666666</v>
      </c>
    </row>
    <row r="369" spans="1:7" ht="14.25" customHeight="1" outlineLevel="3" x14ac:dyDescent="0.25">
      <c r="A369" s="10" t="s">
        <v>9</v>
      </c>
      <c r="B369" s="11">
        <v>4038870</v>
      </c>
      <c r="C369" s="11">
        <v>673145</v>
      </c>
      <c r="D369" s="11">
        <v>673145</v>
      </c>
      <c r="E369" s="11">
        <v>555017.55000000005</v>
      </c>
      <c r="F369" s="14">
        <f t="shared" si="24"/>
        <v>1</v>
      </c>
      <c r="G369" s="14">
        <f t="shared" si="23"/>
        <v>0.16666666666666666</v>
      </c>
    </row>
    <row r="370" spans="1:7" ht="14.25" customHeight="1" outlineLevel="3" x14ac:dyDescent="0.25">
      <c r="A370" s="10" t="s">
        <v>10</v>
      </c>
      <c r="B370" s="11">
        <v>888552</v>
      </c>
      <c r="C370" s="11">
        <v>148092</v>
      </c>
      <c r="D370" s="11">
        <v>148092</v>
      </c>
      <c r="E370" s="11">
        <v>122103.86</v>
      </c>
      <c r="F370" s="14">
        <f t="shared" si="24"/>
        <v>1</v>
      </c>
      <c r="G370" s="14">
        <f t="shared" si="23"/>
        <v>0.16666666666666666</v>
      </c>
    </row>
    <row r="371" spans="1:7" ht="14.25" customHeight="1" outlineLevel="2" x14ac:dyDescent="0.25">
      <c r="A371" s="5" t="s">
        <v>35</v>
      </c>
      <c r="B371" s="6">
        <v>2221986</v>
      </c>
      <c r="C371" s="6">
        <v>370331</v>
      </c>
      <c r="D371" s="6">
        <v>370331</v>
      </c>
      <c r="E371" s="6">
        <v>344045.16</v>
      </c>
      <c r="F371" s="7">
        <f t="shared" si="24"/>
        <v>1</v>
      </c>
      <c r="G371" s="7">
        <f t="shared" si="23"/>
        <v>0.16666666666666666</v>
      </c>
    </row>
    <row r="372" spans="1:7" ht="14.25" customHeight="1" outlineLevel="3" x14ac:dyDescent="0.25">
      <c r="A372" s="10" t="s">
        <v>9</v>
      </c>
      <c r="B372" s="11">
        <v>1821300</v>
      </c>
      <c r="C372" s="11">
        <v>303550</v>
      </c>
      <c r="D372" s="11">
        <v>303550</v>
      </c>
      <c r="E372" s="11">
        <v>282004.23</v>
      </c>
      <c r="F372" s="14">
        <f t="shared" si="24"/>
        <v>1</v>
      </c>
      <c r="G372" s="14">
        <f t="shared" si="23"/>
        <v>0.16666666666666666</v>
      </c>
    </row>
    <row r="373" spans="1:7" ht="14.25" customHeight="1" outlineLevel="3" x14ac:dyDescent="0.25">
      <c r="A373" s="10" t="s">
        <v>10</v>
      </c>
      <c r="B373" s="11">
        <v>400686</v>
      </c>
      <c r="C373" s="11">
        <v>66781</v>
      </c>
      <c r="D373" s="11">
        <v>66781</v>
      </c>
      <c r="E373" s="11">
        <v>62040.93</v>
      </c>
      <c r="F373" s="14">
        <f t="shared" si="24"/>
        <v>1</v>
      </c>
      <c r="G373" s="14">
        <f t="shared" si="23"/>
        <v>0.16666666666666666</v>
      </c>
    </row>
    <row r="374" spans="1:7" ht="28.5" customHeight="1" outlineLevel="2" x14ac:dyDescent="0.25">
      <c r="A374" s="5" t="s">
        <v>23</v>
      </c>
      <c r="B374" s="6">
        <v>69890011</v>
      </c>
      <c r="C374" s="6">
        <v>11648337</v>
      </c>
      <c r="D374" s="6">
        <v>11648337</v>
      </c>
      <c r="E374" s="6">
        <v>9896669.9199999999</v>
      </c>
      <c r="F374" s="7">
        <f t="shared" si="24"/>
        <v>1</v>
      </c>
      <c r="G374" s="7">
        <f t="shared" si="23"/>
        <v>0.16666669289835997</v>
      </c>
    </row>
    <row r="375" spans="1:7" ht="14.25" customHeight="1" outlineLevel="3" x14ac:dyDescent="0.25">
      <c r="A375" s="10" t="s">
        <v>9</v>
      </c>
      <c r="B375" s="11">
        <v>57286893</v>
      </c>
      <c r="C375" s="11">
        <v>9547817</v>
      </c>
      <c r="D375" s="11">
        <v>9547817</v>
      </c>
      <c r="E375" s="11">
        <v>8112024.5300000003</v>
      </c>
      <c r="F375" s="14">
        <f t="shared" si="24"/>
        <v>1</v>
      </c>
      <c r="G375" s="14">
        <f t="shared" si="23"/>
        <v>0.16666669285066657</v>
      </c>
    </row>
    <row r="376" spans="1:7" ht="14.25" customHeight="1" outlineLevel="3" x14ac:dyDescent="0.25">
      <c r="A376" s="10" t="s">
        <v>10</v>
      </c>
      <c r="B376" s="11">
        <v>12603118</v>
      </c>
      <c r="C376" s="11">
        <v>2100520</v>
      </c>
      <c r="D376" s="11">
        <v>2100520</v>
      </c>
      <c r="E376" s="11">
        <v>1784645.39</v>
      </c>
      <c r="F376" s="14">
        <f t="shared" si="24"/>
        <v>1</v>
      </c>
      <c r="G376" s="14">
        <f t="shared" si="23"/>
        <v>0.16666669311514817</v>
      </c>
    </row>
    <row r="377" spans="1:7" ht="14.25" customHeight="1" outlineLevel="2" x14ac:dyDescent="0.25">
      <c r="A377" s="5" t="s">
        <v>36</v>
      </c>
      <c r="B377" s="6">
        <v>4536084</v>
      </c>
      <c r="C377" s="6">
        <v>756014</v>
      </c>
      <c r="D377" s="6">
        <v>756014</v>
      </c>
      <c r="E377" s="6">
        <v>605578.71</v>
      </c>
      <c r="F377" s="7">
        <f t="shared" si="24"/>
        <v>1</v>
      </c>
      <c r="G377" s="7">
        <f t="shared" si="23"/>
        <v>0.16666666666666666</v>
      </c>
    </row>
    <row r="378" spans="1:7" ht="14.25" customHeight="1" outlineLevel="3" x14ac:dyDescent="0.25">
      <c r="A378" s="10" t="s">
        <v>9</v>
      </c>
      <c r="B378" s="11">
        <v>3718104</v>
      </c>
      <c r="C378" s="11">
        <v>619684</v>
      </c>
      <c r="D378" s="11">
        <v>619684</v>
      </c>
      <c r="E378" s="11">
        <v>496375.99</v>
      </c>
      <c r="F378" s="14">
        <f t="shared" si="24"/>
        <v>1</v>
      </c>
      <c r="G378" s="14">
        <f t="shared" si="23"/>
        <v>0.16666666666666666</v>
      </c>
    </row>
    <row r="379" spans="1:7" ht="14.25" customHeight="1" outlineLevel="3" x14ac:dyDescent="0.25">
      <c r="A379" s="10" t="s">
        <v>10</v>
      </c>
      <c r="B379" s="11">
        <v>817980</v>
      </c>
      <c r="C379" s="11">
        <v>136330</v>
      </c>
      <c r="D379" s="11">
        <v>136330</v>
      </c>
      <c r="E379" s="11">
        <v>109202.72</v>
      </c>
      <c r="F379" s="14">
        <f t="shared" si="24"/>
        <v>1</v>
      </c>
      <c r="G379" s="14">
        <f t="shared" si="23"/>
        <v>0.16666666666666666</v>
      </c>
    </row>
    <row r="380" spans="1:7" s="18" customFormat="1" ht="39.75" customHeight="1" outlineLevel="1" x14ac:dyDescent="0.2">
      <c r="A380" s="28" t="s">
        <v>93</v>
      </c>
      <c r="B380" s="22">
        <f>B381+B383+B385+B387+B389+B391</f>
        <v>46361299</v>
      </c>
      <c r="C380" s="22">
        <f>C381+C383+C385+C387+C389+C391</f>
        <v>9272265</v>
      </c>
      <c r="D380" s="22">
        <f t="shared" ref="D380:E380" si="25">D381+D383+D385+D387+D391</f>
        <v>0</v>
      </c>
      <c r="E380" s="22">
        <f t="shared" si="25"/>
        <v>0</v>
      </c>
      <c r="F380" s="23">
        <f t="shared" si="24"/>
        <v>0</v>
      </c>
      <c r="G380" s="23">
        <f t="shared" si="23"/>
        <v>0</v>
      </c>
    </row>
    <row r="381" spans="1:7" ht="15" customHeight="1" outlineLevel="2" x14ac:dyDescent="0.25">
      <c r="A381" s="5" t="s">
        <v>28</v>
      </c>
      <c r="B381" s="6">
        <v>1579050</v>
      </c>
      <c r="C381" s="6">
        <v>315800</v>
      </c>
      <c r="D381" s="15"/>
      <c r="E381" s="15"/>
      <c r="F381" s="7">
        <f t="shared" si="24"/>
        <v>0</v>
      </c>
      <c r="G381" s="7">
        <f t="shared" si="23"/>
        <v>0</v>
      </c>
    </row>
    <row r="382" spans="1:7" ht="15" customHeight="1" outlineLevel="3" x14ac:dyDescent="0.25">
      <c r="A382" s="10" t="s">
        <v>34</v>
      </c>
      <c r="B382" s="11">
        <v>1579050</v>
      </c>
      <c r="C382" s="11">
        <v>315800</v>
      </c>
      <c r="D382" s="12"/>
      <c r="E382" s="12"/>
      <c r="F382" s="14">
        <f t="shared" si="24"/>
        <v>0</v>
      </c>
      <c r="G382" s="14">
        <f t="shared" si="23"/>
        <v>0</v>
      </c>
    </row>
    <row r="383" spans="1:7" ht="15" customHeight="1" outlineLevel="2" x14ac:dyDescent="0.25">
      <c r="A383" s="5" t="s">
        <v>33</v>
      </c>
      <c r="B383" s="6">
        <v>2314200</v>
      </c>
      <c r="C383" s="6">
        <v>462850</v>
      </c>
      <c r="D383" s="15"/>
      <c r="E383" s="15"/>
      <c r="F383" s="7">
        <f t="shared" si="24"/>
        <v>0</v>
      </c>
      <c r="G383" s="7">
        <f t="shared" si="23"/>
        <v>0</v>
      </c>
    </row>
    <row r="384" spans="1:7" ht="15" customHeight="1" outlineLevel="3" x14ac:dyDescent="0.25">
      <c r="A384" s="10" t="s">
        <v>34</v>
      </c>
      <c r="B384" s="11">
        <v>2314200</v>
      </c>
      <c r="C384" s="11">
        <v>462850</v>
      </c>
      <c r="D384" s="12"/>
      <c r="E384" s="12"/>
      <c r="F384" s="14">
        <f t="shared" si="24"/>
        <v>0</v>
      </c>
      <c r="G384" s="14">
        <f t="shared" si="23"/>
        <v>0</v>
      </c>
    </row>
    <row r="385" spans="1:7" ht="15" customHeight="1" outlineLevel="2" x14ac:dyDescent="0.25">
      <c r="A385" s="5" t="s">
        <v>30</v>
      </c>
      <c r="B385" s="6">
        <v>2475150</v>
      </c>
      <c r="C385" s="6">
        <v>495050</v>
      </c>
      <c r="D385" s="15"/>
      <c r="E385" s="15"/>
      <c r="F385" s="7">
        <f t="shared" si="24"/>
        <v>0</v>
      </c>
      <c r="G385" s="7">
        <f t="shared" si="23"/>
        <v>0</v>
      </c>
    </row>
    <row r="386" spans="1:7" ht="15" customHeight="1" outlineLevel="3" x14ac:dyDescent="0.25">
      <c r="A386" s="10" t="s">
        <v>34</v>
      </c>
      <c r="B386" s="11">
        <v>2475150</v>
      </c>
      <c r="C386" s="11">
        <v>495050</v>
      </c>
      <c r="D386" s="12"/>
      <c r="E386" s="12"/>
      <c r="F386" s="14">
        <f t="shared" si="24"/>
        <v>0</v>
      </c>
      <c r="G386" s="14">
        <f t="shared" si="23"/>
        <v>0</v>
      </c>
    </row>
    <row r="387" spans="1:7" ht="15" customHeight="1" outlineLevel="2" x14ac:dyDescent="0.25">
      <c r="A387" s="5" t="s">
        <v>35</v>
      </c>
      <c r="B387" s="6">
        <v>1653000</v>
      </c>
      <c r="C387" s="6">
        <v>330600</v>
      </c>
      <c r="D387" s="15"/>
      <c r="E387" s="15"/>
      <c r="F387" s="7">
        <f t="shared" si="24"/>
        <v>0</v>
      </c>
      <c r="G387" s="7">
        <f t="shared" si="23"/>
        <v>0</v>
      </c>
    </row>
    <row r="388" spans="1:7" ht="15" customHeight="1" outlineLevel="3" x14ac:dyDescent="0.25">
      <c r="A388" s="10" t="s">
        <v>34</v>
      </c>
      <c r="B388" s="11">
        <v>1653000</v>
      </c>
      <c r="C388" s="11">
        <v>330600</v>
      </c>
      <c r="D388" s="12"/>
      <c r="E388" s="12"/>
      <c r="F388" s="14">
        <f t="shared" si="24"/>
        <v>0</v>
      </c>
      <c r="G388" s="14">
        <f t="shared" si="23"/>
        <v>0</v>
      </c>
    </row>
    <row r="389" spans="1:7" ht="15" customHeight="1" outlineLevel="2" x14ac:dyDescent="0.25">
      <c r="A389" s="5" t="s">
        <v>23</v>
      </c>
      <c r="B389" s="6">
        <v>37304599</v>
      </c>
      <c r="C389" s="6">
        <f>C390</f>
        <v>7460915</v>
      </c>
      <c r="D389" s="15"/>
      <c r="E389" s="15"/>
      <c r="F389" s="7">
        <f t="shared" si="24"/>
        <v>0</v>
      </c>
      <c r="G389" s="7">
        <f t="shared" si="23"/>
        <v>0</v>
      </c>
    </row>
    <row r="390" spans="1:7" ht="15" customHeight="1" outlineLevel="3" x14ac:dyDescent="0.25">
      <c r="A390" s="10" t="s">
        <v>34</v>
      </c>
      <c r="B390" s="11">
        <v>37304599</v>
      </c>
      <c r="C390" s="11">
        <f>9272265-C382-C384-C386-C388-C392</f>
        <v>7460915</v>
      </c>
      <c r="D390" s="12"/>
      <c r="E390" s="12"/>
      <c r="F390" s="14">
        <f t="shared" si="24"/>
        <v>0</v>
      </c>
      <c r="G390" s="14">
        <f t="shared" si="23"/>
        <v>0</v>
      </c>
    </row>
    <row r="391" spans="1:7" ht="15" customHeight="1" outlineLevel="2" x14ac:dyDescent="0.25">
      <c r="A391" s="5" t="s">
        <v>36</v>
      </c>
      <c r="B391" s="6">
        <v>1035300</v>
      </c>
      <c r="C391" s="6">
        <v>207050</v>
      </c>
      <c r="D391" s="15"/>
      <c r="E391" s="15"/>
      <c r="F391" s="7">
        <f t="shared" si="24"/>
        <v>0</v>
      </c>
      <c r="G391" s="7">
        <f t="shared" ref="G391:G454" si="26">D391/B391</f>
        <v>0</v>
      </c>
    </row>
    <row r="392" spans="1:7" ht="15" customHeight="1" outlineLevel="3" x14ac:dyDescent="0.25">
      <c r="A392" s="10" t="s">
        <v>34</v>
      </c>
      <c r="B392" s="11">
        <v>1035300</v>
      </c>
      <c r="C392" s="11">
        <v>207050</v>
      </c>
      <c r="D392" s="12"/>
      <c r="E392" s="12"/>
      <c r="F392" s="14">
        <f t="shared" si="24"/>
        <v>0</v>
      </c>
      <c r="G392" s="14">
        <f t="shared" si="26"/>
        <v>0</v>
      </c>
    </row>
    <row r="393" spans="1:7" s="27" customFormat="1" ht="21" customHeight="1" outlineLevel="3" x14ac:dyDescent="0.2">
      <c r="A393" s="24" t="s">
        <v>43</v>
      </c>
      <c r="B393" s="25">
        <f>B394+B408+B412+B423+B434+B437+B447</f>
        <v>102753647</v>
      </c>
      <c r="C393" s="25">
        <f t="shared" ref="C393:E393" si="27">C394+C408+C412+C423+C434+C437+C447</f>
        <v>8710770</v>
      </c>
      <c r="D393" s="25">
        <f t="shared" si="27"/>
        <v>6658315.1699999999</v>
      </c>
      <c r="E393" s="25">
        <f t="shared" si="27"/>
        <v>6658315.1699999999</v>
      </c>
      <c r="F393" s="26">
        <f t="shared" si="24"/>
        <v>0.76437733633192018</v>
      </c>
      <c r="G393" s="26">
        <f t="shared" si="26"/>
        <v>6.4798820911923447E-2</v>
      </c>
    </row>
    <row r="394" spans="1:7" s="18" customFormat="1" ht="27.75" customHeight="1" outlineLevel="1" x14ac:dyDescent="0.2">
      <c r="A394" s="28" t="s">
        <v>79</v>
      </c>
      <c r="B394" s="22">
        <v>48683076</v>
      </c>
      <c r="C394" s="22">
        <v>3786612</v>
      </c>
      <c r="D394" s="22">
        <v>3120151.39</v>
      </c>
      <c r="E394" s="22">
        <v>3120151.39</v>
      </c>
      <c r="F394" s="23">
        <f t="shared" si="24"/>
        <v>0.82399553743557574</v>
      </c>
      <c r="G394" s="23">
        <f t="shared" si="26"/>
        <v>6.4091089683815383E-2</v>
      </c>
    </row>
    <row r="395" spans="1:7" ht="24" customHeight="1" outlineLevel="2" x14ac:dyDescent="0.25">
      <c r="A395" s="5" t="s">
        <v>44</v>
      </c>
      <c r="B395" s="6">
        <v>48683076</v>
      </c>
      <c r="C395" s="6">
        <v>3786612</v>
      </c>
      <c r="D395" s="6">
        <v>3120151.39</v>
      </c>
      <c r="E395" s="6">
        <v>3120151.39</v>
      </c>
      <c r="F395" s="7">
        <f t="shared" si="24"/>
        <v>0.82399553743557574</v>
      </c>
      <c r="G395" s="7">
        <f t="shared" si="26"/>
        <v>6.4091089683815383E-2</v>
      </c>
    </row>
    <row r="396" spans="1:7" ht="14.25" customHeight="1" outlineLevel="3" x14ac:dyDescent="0.25">
      <c r="A396" s="10" t="s">
        <v>9</v>
      </c>
      <c r="B396" s="11">
        <v>34112448</v>
      </c>
      <c r="C396" s="11">
        <v>2700000</v>
      </c>
      <c r="D396" s="11">
        <v>2572764.34</v>
      </c>
      <c r="E396" s="11">
        <v>2572764.34</v>
      </c>
      <c r="F396" s="14">
        <f t="shared" si="24"/>
        <v>0.95287568148148138</v>
      </c>
      <c r="G396" s="14">
        <f t="shared" si="26"/>
        <v>7.5420102948929368E-2</v>
      </c>
    </row>
    <row r="397" spans="1:7" ht="14.25" customHeight="1" outlineLevel="3" x14ac:dyDescent="0.25">
      <c r="A397" s="10" t="s">
        <v>10</v>
      </c>
      <c r="B397" s="11">
        <v>7504739</v>
      </c>
      <c r="C397" s="11">
        <v>594000</v>
      </c>
      <c r="D397" s="11">
        <v>547387.05000000005</v>
      </c>
      <c r="E397" s="11">
        <v>547387.05000000005</v>
      </c>
      <c r="F397" s="14">
        <f t="shared" si="24"/>
        <v>0.92152702020202026</v>
      </c>
      <c r="G397" s="14">
        <f t="shared" si="26"/>
        <v>7.2938852370482171E-2</v>
      </c>
    </row>
    <row r="398" spans="1:7" ht="14.25" customHeight="1" outlineLevel="3" x14ac:dyDescent="0.25">
      <c r="A398" s="10" t="s">
        <v>11</v>
      </c>
      <c r="B398" s="11">
        <v>1524482</v>
      </c>
      <c r="C398" s="12"/>
      <c r="D398" s="12"/>
      <c r="E398" s="12"/>
      <c r="F398" s="14">
        <v>0</v>
      </c>
      <c r="G398" s="14">
        <f t="shared" si="26"/>
        <v>0</v>
      </c>
    </row>
    <row r="399" spans="1:7" ht="14.25" customHeight="1" outlineLevel="3" x14ac:dyDescent="0.25">
      <c r="A399" s="10" t="s">
        <v>29</v>
      </c>
      <c r="B399" s="11">
        <v>200000</v>
      </c>
      <c r="C399" s="12"/>
      <c r="D399" s="12"/>
      <c r="E399" s="12"/>
      <c r="F399" s="14">
        <v>0</v>
      </c>
      <c r="G399" s="14">
        <f t="shared" si="26"/>
        <v>0</v>
      </c>
    </row>
    <row r="400" spans="1:7" ht="14.25" customHeight="1" outlineLevel="3" x14ac:dyDescent="0.25">
      <c r="A400" s="10" t="s">
        <v>34</v>
      </c>
      <c r="B400" s="11">
        <v>1464502</v>
      </c>
      <c r="C400" s="11">
        <v>84502</v>
      </c>
      <c r="D400" s="12"/>
      <c r="E400" s="12"/>
      <c r="F400" s="14">
        <f t="shared" si="24"/>
        <v>0</v>
      </c>
      <c r="G400" s="14">
        <f t="shared" si="26"/>
        <v>0</v>
      </c>
    </row>
    <row r="401" spans="1:7" ht="14.25" customHeight="1" outlineLevel="3" x14ac:dyDescent="0.25">
      <c r="A401" s="10" t="s">
        <v>12</v>
      </c>
      <c r="B401" s="11">
        <v>951000</v>
      </c>
      <c r="C401" s="11">
        <v>45000</v>
      </c>
      <c r="D401" s="12"/>
      <c r="E401" s="12"/>
      <c r="F401" s="14">
        <f t="shared" si="24"/>
        <v>0</v>
      </c>
      <c r="G401" s="14">
        <f t="shared" si="26"/>
        <v>0</v>
      </c>
    </row>
    <row r="402" spans="1:7" ht="14.25" customHeight="1" outlineLevel="3" x14ac:dyDescent="0.25">
      <c r="A402" s="10" t="s">
        <v>13</v>
      </c>
      <c r="B402" s="11">
        <v>1731472</v>
      </c>
      <c r="C402" s="11">
        <v>291200</v>
      </c>
      <c r="D402" s="12"/>
      <c r="E402" s="12"/>
      <c r="F402" s="14">
        <f t="shared" si="24"/>
        <v>0</v>
      </c>
      <c r="G402" s="14">
        <f t="shared" si="26"/>
        <v>0</v>
      </c>
    </row>
    <row r="403" spans="1:7" ht="14.25" customHeight="1" outlineLevel="3" x14ac:dyDescent="0.25">
      <c r="A403" s="10" t="s">
        <v>14</v>
      </c>
      <c r="B403" s="11">
        <v>45812</v>
      </c>
      <c r="C403" s="11">
        <v>4860</v>
      </c>
      <c r="D403" s="12"/>
      <c r="E403" s="12"/>
      <c r="F403" s="14">
        <f t="shared" si="24"/>
        <v>0</v>
      </c>
      <c r="G403" s="14">
        <f t="shared" si="26"/>
        <v>0</v>
      </c>
    </row>
    <row r="404" spans="1:7" ht="14.25" customHeight="1" outlineLevel="3" x14ac:dyDescent="0.25">
      <c r="A404" s="10" t="s">
        <v>15</v>
      </c>
      <c r="B404" s="11">
        <v>688000</v>
      </c>
      <c r="C404" s="11">
        <v>64500</v>
      </c>
      <c r="D404" s="12"/>
      <c r="E404" s="12"/>
      <c r="F404" s="14">
        <f t="shared" ref="F404:F467" si="28">D404/C404</f>
        <v>0</v>
      </c>
      <c r="G404" s="14">
        <f t="shared" si="26"/>
        <v>0</v>
      </c>
    </row>
    <row r="405" spans="1:7" ht="14.25" customHeight="1" outlineLevel="3" x14ac:dyDescent="0.25">
      <c r="A405" s="10" t="s">
        <v>26</v>
      </c>
      <c r="B405" s="11">
        <v>30621</v>
      </c>
      <c r="C405" s="11">
        <v>2550</v>
      </c>
      <c r="D405" s="12"/>
      <c r="E405" s="12"/>
      <c r="F405" s="14">
        <f t="shared" si="28"/>
        <v>0</v>
      </c>
      <c r="G405" s="14">
        <f t="shared" si="26"/>
        <v>0</v>
      </c>
    </row>
    <row r="406" spans="1:7" ht="25.5" customHeight="1" outlineLevel="3" x14ac:dyDescent="0.25">
      <c r="A406" s="10" t="s">
        <v>16</v>
      </c>
      <c r="B406" s="11">
        <v>30000</v>
      </c>
      <c r="C406" s="12"/>
      <c r="D406" s="12"/>
      <c r="E406" s="12"/>
      <c r="F406" s="14">
        <v>0</v>
      </c>
      <c r="G406" s="14">
        <f t="shared" si="26"/>
        <v>0</v>
      </c>
    </row>
    <row r="407" spans="1:7" ht="14.25" customHeight="1" outlineLevel="3" x14ac:dyDescent="0.25">
      <c r="A407" s="10" t="s">
        <v>56</v>
      </c>
      <c r="B407" s="11">
        <v>400000</v>
      </c>
      <c r="C407" s="12"/>
      <c r="D407" s="12"/>
      <c r="E407" s="12"/>
      <c r="F407" s="14">
        <v>0</v>
      </c>
      <c r="G407" s="14">
        <f t="shared" si="26"/>
        <v>0</v>
      </c>
    </row>
    <row r="408" spans="1:7" ht="37.5" customHeight="1" outlineLevel="1" x14ac:dyDescent="0.25">
      <c r="A408" s="28" t="s">
        <v>80</v>
      </c>
      <c r="B408" s="22">
        <v>681600</v>
      </c>
      <c r="C408" s="22">
        <v>321600</v>
      </c>
      <c r="D408" s="38"/>
      <c r="E408" s="38"/>
      <c r="F408" s="23">
        <f t="shared" si="28"/>
        <v>0</v>
      </c>
      <c r="G408" s="23">
        <f t="shared" si="26"/>
        <v>0</v>
      </c>
    </row>
    <row r="409" spans="1:7" ht="28.5" customHeight="1" outlineLevel="2" x14ac:dyDescent="0.25">
      <c r="A409" s="5" t="s">
        <v>24</v>
      </c>
      <c r="B409" s="6">
        <v>681600</v>
      </c>
      <c r="C409" s="6">
        <v>321600</v>
      </c>
      <c r="D409" s="15"/>
      <c r="E409" s="15"/>
      <c r="F409" s="7">
        <f t="shared" si="28"/>
        <v>0</v>
      </c>
      <c r="G409" s="7">
        <f t="shared" si="26"/>
        <v>0</v>
      </c>
    </row>
    <row r="410" spans="1:7" ht="14.25" customHeight="1" outlineLevel="3" x14ac:dyDescent="0.25">
      <c r="A410" s="10" t="s">
        <v>11</v>
      </c>
      <c r="B410" s="11">
        <v>611600</v>
      </c>
      <c r="C410" s="11">
        <v>321600</v>
      </c>
      <c r="D410" s="12"/>
      <c r="E410" s="12"/>
      <c r="F410" s="14">
        <f t="shared" si="28"/>
        <v>0</v>
      </c>
      <c r="G410" s="14">
        <f t="shared" si="26"/>
        <v>0</v>
      </c>
    </row>
    <row r="411" spans="1:7" ht="14.25" customHeight="1" outlineLevel="3" x14ac:dyDescent="0.25">
      <c r="A411" s="10" t="s">
        <v>12</v>
      </c>
      <c r="B411" s="11">
        <v>70000</v>
      </c>
      <c r="C411" s="12"/>
      <c r="D411" s="12"/>
      <c r="E411" s="12"/>
      <c r="F411" s="14">
        <v>0</v>
      </c>
      <c r="G411" s="14">
        <f t="shared" si="26"/>
        <v>0</v>
      </c>
    </row>
    <row r="412" spans="1:7" ht="63.75" customHeight="1" outlineLevel="1" x14ac:dyDescent="0.25">
      <c r="A412" s="28" t="s">
        <v>81</v>
      </c>
      <c r="B412" s="22">
        <v>15157905</v>
      </c>
      <c r="C412" s="22">
        <f>C413</f>
        <v>1197567</v>
      </c>
      <c r="D412" s="22">
        <v>978469.41</v>
      </c>
      <c r="E412" s="22">
        <v>978469.41</v>
      </c>
      <c r="F412" s="23">
        <f t="shared" si="28"/>
        <v>0.81704773929141339</v>
      </c>
      <c r="G412" s="23">
        <f t="shared" si="26"/>
        <v>6.4551757647247424E-2</v>
      </c>
    </row>
    <row r="413" spans="1:7" ht="17.25" customHeight="1" outlineLevel="2" x14ac:dyDescent="0.25">
      <c r="A413" s="5" t="s">
        <v>45</v>
      </c>
      <c r="B413" s="6">
        <v>15157905</v>
      </c>
      <c r="C413" s="6">
        <f>SUM(C414:C422)</f>
        <v>1197567</v>
      </c>
      <c r="D413" s="6">
        <v>978469.41</v>
      </c>
      <c r="E413" s="6">
        <v>978469.41</v>
      </c>
      <c r="F413" s="7">
        <f t="shared" si="28"/>
        <v>0.81704773929141339</v>
      </c>
      <c r="G413" s="7">
        <f t="shared" si="26"/>
        <v>6.4551757647247424E-2</v>
      </c>
    </row>
    <row r="414" spans="1:7" ht="14.25" customHeight="1" outlineLevel="3" x14ac:dyDescent="0.25">
      <c r="A414" s="10" t="s">
        <v>9</v>
      </c>
      <c r="B414" s="11">
        <v>11758100</v>
      </c>
      <c r="C414" s="30">
        <v>900000</v>
      </c>
      <c r="D414" s="11">
        <v>782013.83</v>
      </c>
      <c r="E414" s="11">
        <v>782013.83</v>
      </c>
      <c r="F414" s="14">
        <f t="shared" si="28"/>
        <v>0.8689042555555555</v>
      </c>
      <c r="G414" s="14">
        <f t="shared" si="26"/>
        <v>6.6508520084027176E-2</v>
      </c>
    </row>
    <row r="415" spans="1:7" ht="14.25" customHeight="1" outlineLevel="3" x14ac:dyDescent="0.25">
      <c r="A415" s="10" t="s">
        <v>10</v>
      </c>
      <c r="B415" s="11">
        <v>2586782</v>
      </c>
      <c r="C415" s="30">
        <v>198000</v>
      </c>
      <c r="D415" s="11">
        <v>159071.26999999999</v>
      </c>
      <c r="E415" s="11">
        <v>159071.26999999999</v>
      </c>
      <c r="F415" s="14">
        <f t="shared" si="28"/>
        <v>0.80339025252525242</v>
      </c>
      <c r="G415" s="14">
        <f t="shared" si="26"/>
        <v>6.1493883133561307E-2</v>
      </c>
    </row>
    <row r="416" spans="1:7" ht="14.25" customHeight="1" outlineLevel="3" x14ac:dyDescent="0.25">
      <c r="A416" s="10" t="s">
        <v>11</v>
      </c>
      <c r="B416" s="11">
        <v>115000</v>
      </c>
      <c r="C416" s="30">
        <v>29100</v>
      </c>
      <c r="D416" s="12"/>
      <c r="E416" s="12"/>
      <c r="F416" s="14">
        <f t="shared" si="28"/>
        <v>0</v>
      </c>
      <c r="G416" s="14">
        <f t="shared" si="26"/>
        <v>0</v>
      </c>
    </row>
    <row r="417" spans="1:7" ht="14.25" customHeight="1" outlineLevel="3" x14ac:dyDescent="0.25">
      <c r="A417" s="10" t="s">
        <v>12</v>
      </c>
      <c r="B417" s="11">
        <v>265850</v>
      </c>
      <c r="C417" s="30">
        <v>17300</v>
      </c>
      <c r="D417" s="12"/>
      <c r="E417" s="12"/>
      <c r="F417" s="14">
        <f t="shared" si="28"/>
        <v>0</v>
      </c>
      <c r="G417" s="14">
        <f t="shared" si="26"/>
        <v>0</v>
      </c>
    </row>
    <row r="418" spans="1:7" ht="14.25" customHeight="1" outlineLevel="3" x14ac:dyDescent="0.25">
      <c r="A418" s="10" t="s">
        <v>21</v>
      </c>
      <c r="B418" s="11">
        <v>19140</v>
      </c>
      <c r="C418" s="31"/>
      <c r="D418" s="12"/>
      <c r="E418" s="12"/>
      <c r="F418" s="14">
        <v>0</v>
      </c>
      <c r="G418" s="14">
        <f t="shared" si="26"/>
        <v>0</v>
      </c>
    </row>
    <row r="419" spans="1:7" ht="14.25" customHeight="1" outlineLevel="3" x14ac:dyDescent="0.25">
      <c r="A419" s="10" t="s">
        <v>13</v>
      </c>
      <c r="B419" s="11">
        <v>186151</v>
      </c>
      <c r="C419" s="30">
        <v>33766</v>
      </c>
      <c r="D419" s="11">
        <v>28869.02</v>
      </c>
      <c r="E419" s="11">
        <v>28869.02</v>
      </c>
      <c r="F419" s="14">
        <f t="shared" si="28"/>
        <v>0.85497304981342181</v>
      </c>
      <c r="G419" s="14">
        <f t="shared" si="26"/>
        <v>0.15508388351392149</v>
      </c>
    </row>
    <row r="420" spans="1:7" ht="14.25" customHeight="1" outlineLevel="3" x14ac:dyDescent="0.25">
      <c r="A420" s="10" t="s">
        <v>14</v>
      </c>
      <c r="B420" s="11">
        <v>16135</v>
      </c>
      <c r="C420" s="30">
        <v>1345</v>
      </c>
      <c r="D420" s="13">
        <v>978.26</v>
      </c>
      <c r="E420" s="13">
        <v>978.26</v>
      </c>
      <c r="F420" s="14">
        <f t="shared" si="28"/>
        <v>0.72733085501858741</v>
      </c>
      <c r="G420" s="14">
        <f t="shared" si="26"/>
        <v>6.0629687015804151E-2</v>
      </c>
    </row>
    <row r="421" spans="1:7" ht="14.25" customHeight="1" outlineLevel="3" x14ac:dyDescent="0.25">
      <c r="A421" s="10" t="s">
        <v>15</v>
      </c>
      <c r="B421" s="11">
        <v>200000</v>
      </c>
      <c r="C421" s="30">
        <v>17160</v>
      </c>
      <c r="D421" s="11">
        <v>7537.03</v>
      </c>
      <c r="E421" s="11">
        <v>7537.03</v>
      </c>
      <c r="F421" s="14">
        <f t="shared" si="28"/>
        <v>0.43922086247086245</v>
      </c>
      <c r="G421" s="14">
        <f t="shared" si="26"/>
        <v>3.7685150000000001E-2</v>
      </c>
    </row>
    <row r="422" spans="1:7" ht="14.25" customHeight="1" outlineLevel="3" x14ac:dyDescent="0.25">
      <c r="A422" s="10" t="s">
        <v>26</v>
      </c>
      <c r="B422" s="11">
        <v>10747</v>
      </c>
      <c r="C422" s="32">
        <v>896</v>
      </c>
      <c r="D422" s="12"/>
      <c r="E422" s="12"/>
      <c r="F422" s="14">
        <f t="shared" si="28"/>
        <v>0</v>
      </c>
      <c r="G422" s="14">
        <f t="shared" si="26"/>
        <v>0</v>
      </c>
    </row>
    <row r="423" spans="1:7" s="18" customFormat="1" ht="38.25" customHeight="1" outlineLevel="1" x14ac:dyDescent="0.2">
      <c r="A423" s="28" t="s">
        <v>82</v>
      </c>
      <c r="B423" s="22">
        <v>25376529</v>
      </c>
      <c r="C423" s="22">
        <v>2341856</v>
      </c>
      <c r="D423" s="22">
        <v>1648293.32</v>
      </c>
      <c r="E423" s="22">
        <v>1648293.32</v>
      </c>
      <c r="F423" s="23">
        <f t="shared" si="28"/>
        <v>0.70384059481027017</v>
      </c>
      <c r="G423" s="23">
        <f t="shared" si="26"/>
        <v>6.4953458370922201E-2</v>
      </c>
    </row>
    <row r="424" spans="1:7" ht="31.5" customHeight="1" outlineLevel="2" x14ac:dyDescent="0.25">
      <c r="A424" s="5" t="s">
        <v>46</v>
      </c>
      <c r="B424" s="6">
        <v>25376529</v>
      </c>
      <c r="C424" s="6">
        <v>2341856</v>
      </c>
      <c r="D424" s="6">
        <v>1648293.32</v>
      </c>
      <c r="E424" s="6">
        <v>1648293.32</v>
      </c>
      <c r="F424" s="7">
        <f t="shared" si="28"/>
        <v>0.70384059481027017</v>
      </c>
      <c r="G424" s="7">
        <f t="shared" si="26"/>
        <v>6.4953458370922201E-2</v>
      </c>
    </row>
    <row r="425" spans="1:7" ht="14.25" customHeight="1" outlineLevel="3" x14ac:dyDescent="0.25">
      <c r="A425" s="10" t="s">
        <v>9</v>
      </c>
      <c r="B425" s="11">
        <v>16920982</v>
      </c>
      <c r="C425" s="11">
        <v>1370000</v>
      </c>
      <c r="D425" s="11">
        <v>1352979.93</v>
      </c>
      <c r="E425" s="11">
        <v>1352979.93</v>
      </c>
      <c r="F425" s="14">
        <f t="shared" si="28"/>
        <v>0.98757659124087582</v>
      </c>
      <c r="G425" s="14">
        <f t="shared" si="26"/>
        <v>7.9958712207128399E-2</v>
      </c>
    </row>
    <row r="426" spans="1:7" ht="14.25" customHeight="1" outlineLevel="3" x14ac:dyDescent="0.25">
      <c r="A426" s="10" t="s">
        <v>10</v>
      </c>
      <c r="B426" s="11">
        <v>3722616</v>
      </c>
      <c r="C426" s="11">
        <v>301400</v>
      </c>
      <c r="D426" s="11">
        <v>295313.39</v>
      </c>
      <c r="E426" s="11">
        <v>295313.39</v>
      </c>
      <c r="F426" s="14">
        <f t="shared" si="28"/>
        <v>0.97980554080955551</v>
      </c>
      <c r="G426" s="14">
        <f t="shared" si="26"/>
        <v>7.9329533317430548E-2</v>
      </c>
    </row>
    <row r="427" spans="1:7" ht="14.25" customHeight="1" outlineLevel="3" x14ac:dyDescent="0.25">
      <c r="A427" s="10" t="s">
        <v>11</v>
      </c>
      <c r="B427" s="11">
        <v>300000</v>
      </c>
      <c r="C427" s="11">
        <v>20000</v>
      </c>
      <c r="D427" s="12"/>
      <c r="E427" s="12"/>
      <c r="F427" s="14">
        <f t="shared" si="28"/>
        <v>0</v>
      </c>
      <c r="G427" s="14">
        <f t="shared" si="26"/>
        <v>0</v>
      </c>
    </row>
    <row r="428" spans="1:7" ht="14.25" customHeight="1" outlineLevel="3" x14ac:dyDescent="0.25">
      <c r="A428" s="10" t="s">
        <v>12</v>
      </c>
      <c r="B428" s="11">
        <v>1092213</v>
      </c>
      <c r="C428" s="11">
        <v>120000</v>
      </c>
      <c r="D428" s="12"/>
      <c r="E428" s="12"/>
      <c r="F428" s="14">
        <f t="shared" si="28"/>
        <v>0</v>
      </c>
      <c r="G428" s="14">
        <f t="shared" si="26"/>
        <v>0</v>
      </c>
    </row>
    <row r="429" spans="1:7" ht="14.25" customHeight="1" outlineLevel="3" x14ac:dyDescent="0.25">
      <c r="A429" s="10" t="s">
        <v>13</v>
      </c>
      <c r="B429" s="11">
        <v>2067768</v>
      </c>
      <c r="C429" s="11">
        <v>390000</v>
      </c>
      <c r="D429" s="12"/>
      <c r="E429" s="12"/>
      <c r="F429" s="14">
        <f t="shared" si="28"/>
        <v>0</v>
      </c>
      <c r="G429" s="14">
        <f t="shared" si="26"/>
        <v>0</v>
      </c>
    </row>
    <row r="430" spans="1:7" ht="14.25" customHeight="1" outlineLevel="3" x14ac:dyDescent="0.25">
      <c r="A430" s="10" t="s">
        <v>14</v>
      </c>
      <c r="B430" s="11">
        <v>279037</v>
      </c>
      <c r="C430" s="11">
        <v>24000</v>
      </c>
      <c r="D430" s="12"/>
      <c r="E430" s="12"/>
      <c r="F430" s="14">
        <f t="shared" si="28"/>
        <v>0</v>
      </c>
      <c r="G430" s="14">
        <f t="shared" si="26"/>
        <v>0</v>
      </c>
    </row>
    <row r="431" spans="1:7" ht="14.25" customHeight="1" outlineLevel="3" x14ac:dyDescent="0.25">
      <c r="A431" s="10" t="s">
        <v>15</v>
      </c>
      <c r="B431" s="11">
        <v>929857</v>
      </c>
      <c r="C431" s="11">
        <v>90000</v>
      </c>
      <c r="D431" s="12"/>
      <c r="E431" s="12"/>
      <c r="F431" s="14">
        <f t="shared" si="28"/>
        <v>0</v>
      </c>
      <c r="G431" s="14">
        <f t="shared" si="26"/>
        <v>0</v>
      </c>
    </row>
    <row r="432" spans="1:7" ht="14.25" customHeight="1" outlineLevel="3" x14ac:dyDescent="0.25">
      <c r="A432" s="10" t="s">
        <v>26</v>
      </c>
      <c r="B432" s="11">
        <v>53956</v>
      </c>
      <c r="C432" s="11">
        <v>26456</v>
      </c>
      <c r="D432" s="12"/>
      <c r="E432" s="12"/>
      <c r="F432" s="14">
        <f t="shared" si="28"/>
        <v>0</v>
      </c>
      <c r="G432" s="14">
        <f t="shared" si="26"/>
        <v>0</v>
      </c>
    </row>
    <row r="433" spans="1:7" ht="25.5" customHeight="1" outlineLevel="3" x14ac:dyDescent="0.25">
      <c r="A433" s="10" t="s">
        <v>16</v>
      </c>
      <c r="B433" s="11">
        <v>10100</v>
      </c>
      <c r="C433" s="12"/>
      <c r="D433" s="12"/>
      <c r="E433" s="12"/>
      <c r="F433" s="14">
        <v>0</v>
      </c>
      <c r="G433" s="14">
        <f t="shared" si="26"/>
        <v>0</v>
      </c>
    </row>
    <row r="434" spans="1:7" s="18" customFormat="1" ht="37.5" customHeight="1" outlineLevel="1" x14ac:dyDescent="0.2">
      <c r="A434" s="28" t="s">
        <v>83</v>
      </c>
      <c r="B434" s="22">
        <v>66800</v>
      </c>
      <c r="C434" s="38"/>
      <c r="D434" s="38"/>
      <c r="E434" s="38"/>
      <c r="F434" s="23">
        <v>0</v>
      </c>
      <c r="G434" s="23">
        <f t="shared" si="26"/>
        <v>0</v>
      </c>
    </row>
    <row r="435" spans="1:7" ht="27.75" customHeight="1" outlineLevel="2" x14ac:dyDescent="0.25">
      <c r="A435" s="5" t="s">
        <v>22</v>
      </c>
      <c r="B435" s="6">
        <v>66800</v>
      </c>
      <c r="C435" s="15"/>
      <c r="D435" s="15"/>
      <c r="E435" s="15"/>
      <c r="F435" s="7">
        <v>0</v>
      </c>
      <c r="G435" s="7">
        <f t="shared" si="26"/>
        <v>0</v>
      </c>
    </row>
    <row r="436" spans="1:7" ht="15.75" customHeight="1" outlineLevel="3" x14ac:dyDescent="0.25">
      <c r="A436" s="10" t="s">
        <v>11</v>
      </c>
      <c r="B436" s="11">
        <v>66800</v>
      </c>
      <c r="C436" s="12"/>
      <c r="D436" s="12"/>
      <c r="E436" s="12"/>
      <c r="F436" s="14">
        <v>0</v>
      </c>
      <c r="G436" s="14">
        <f t="shared" si="26"/>
        <v>0</v>
      </c>
    </row>
    <row r="437" spans="1:7" ht="39.75" customHeight="1" outlineLevel="1" x14ac:dyDescent="0.25">
      <c r="A437" s="28" t="s">
        <v>84</v>
      </c>
      <c r="B437" s="22">
        <v>12696737</v>
      </c>
      <c r="C437" s="22">
        <v>1063135</v>
      </c>
      <c r="D437" s="22">
        <v>911401.05</v>
      </c>
      <c r="E437" s="22">
        <v>911401.05</v>
      </c>
      <c r="F437" s="23">
        <f t="shared" si="28"/>
        <v>0.8572768745267535</v>
      </c>
      <c r="G437" s="23">
        <f t="shared" si="26"/>
        <v>7.178230517021815E-2</v>
      </c>
    </row>
    <row r="438" spans="1:7" ht="27" customHeight="1" outlineLevel="2" x14ac:dyDescent="0.25">
      <c r="A438" s="5" t="s">
        <v>47</v>
      </c>
      <c r="B438" s="6">
        <v>12696737</v>
      </c>
      <c r="C438" s="6">
        <v>1063135</v>
      </c>
      <c r="D438" s="6">
        <v>911401.05</v>
      </c>
      <c r="E438" s="6">
        <v>911401.05</v>
      </c>
      <c r="F438" s="7">
        <f t="shared" si="28"/>
        <v>0.8572768745267535</v>
      </c>
      <c r="G438" s="7">
        <f t="shared" si="26"/>
        <v>7.178230517021815E-2</v>
      </c>
    </row>
    <row r="439" spans="1:7" ht="14.25" customHeight="1" outlineLevel="3" x14ac:dyDescent="0.25">
      <c r="A439" s="10" t="s">
        <v>9</v>
      </c>
      <c r="B439" s="11">
        <v>9201452</v>
      </c>
      <c r="C439" s="11">
        <v>766750</v>
      </c>
      <c r="D439" s="11">
        <v>747050.05</v>
      </c>
      <c r="E439" s="11">
        <v>747050.05</v>
      </c>
      <c r="F439" s="14">
        <f t="shared" si="28"/>
        <v>0.97430720573850671</v>
      </c>
      <c r="G439" s="14">
        <f t="shared" si="26"/>
        <v>8.1188278762960461E-2</v>
      </c>
    </row>
    <row r="440" spans="1:7" ht="14.25" customHeight="1" outlineLevel="3" x14ac:dyDescent="0.25">
      <c r="A440" s="10" t="s">
        <v>10</v>
      </c>
      <c r="B440" s="11">
        <v>2024319</v>
      </c>
      <c r="C440" s="11">
        <v>168685</v>
      </c>
      <c r="D440" s="11">
        <v>164351</v>
      </c>
      <c r="E440" s="11">
        <v>164351</v>
      </c>
      <c r="F440" s="14">
        <f t="shared" si="28"/>
        <v>0.97430714052820344</v>
      </c>
      <c r="G440" s="14">
        <f t="shared" si="26"/>
        <v>8.1188290975878805E-2</v>
      </c>
    </row>
    <row r="441" spans="1:7" ht="14.25" customHeight="1" outlineLevel="3" x14ac:dyDescent="0.25">
      <c r="A441" s="10" t="s">
        <v>11</v>
      </c>
      <c r="B441" s="11">
        <v>100006</v>
      </c>
      <c r="C441" s="11">
        <v>2000</v>
      </c>
      <c r="D441" s="12"/>
      <c r="E441" s="12"/>
      <c r="F441" s="14">
        <f t="shared" si="28"/>
        <v>0</v>
      </c>
      <c r="G441" s="14">
        <f t="shared" si="26"/>
        <v>0</v>
      </c>
    </row>
    <row r="442" spans="1:7" ht="14.25" customHeight="1" outlineLevel="3" x14ac:dyDescent="0.25">
      <c r="A442" s="10" t="s">
        <v>12</v>
      </c>
      <c r="B442" s="11">
        <v>895000</v>
      </c>
      <c r="C442" s="11">
        <v>74400</v>
      </c>
      <c r="D442" s="12"/>
      <c r="E442" s="12"/>
      <c r="F442" s="14">
        <f t="shared" si="28"/>
        <v>0</v>
      </c>
      <c r="G442" s="14">
        <f t="shared" si="26"/>
        <v>0</v>
      </c>
    </row>
    <row r="443" spans="1:7" ht="14.25" customHeight="1" outlineLevel="3" x14ac:dyDescent="0.25">
      <c r="A443" s="10" t="s">
        <v>13</v>
      </c>
      <c r="B443" s="11">
        <v>215016</v>
      </c>
      <c r="C443" s="11">
        <v>30000</v>
      </c>
      <c r="D443" s="12"/>
      <c r="E443" s="12"/>
      <c r="F443" s="14">
        <f t="shared" si="28"/>
        <v>0</v>
      </c>
      <c r="G443" s="14">
        <f t="shared" si="26"/>
        <v>0</v>
      </c>
    </row>
    <row r="444" spans="1:7" ht="14.25" customHeight="1" outlineLevel="3" x14ac:dyDescent="0.25">
      <c r="A444" s="10" t="s">
        <v>14</v>
      </c>
      <c r="B444" s="11">
        <v>27989</v>
      </c>
      <c r="C444" s="11">
        <v>2300</v>
      </c>
      <c r="D444" s="12"/>
      <c r="E444" s="12"/>
      <c r="F444" s="14">
        <f t="shared" si="28"/>
        <v>0</v>
      </c>
      <c r="G444" s="14">
        <f t="shared" si="26"/>
        <v>0</v>
      </c>
    </row>
    <row r="445" spans="1:7" ht="14.25" customHeight="1" outlineLevel="3" x14ac:dyDescent="0.25">
      <c r="A445" s="10" t="s">
        <v>15</v>
      </c>
      <c r="B445" s="11">
        <v>228000</v>
      </c>
      <c r="C445" s="11">
        <v>19000</v>
      </c>
      <c r="D445" s="12"/>
      <c r="E445" s="12"/>
      <c r="F445" s="14">
        <f t="shared" si="28"/>
        <v>0</v>
      </c>
      <c r="G445" s="14">
        <f t="shared" si="26"/>
        <v>0</v>
      </c>
    </row>
    <row r="446" spans="1:7" ht="27" customHeight="1" outlineLevel="3" x14ac:dyDescent="0.25">
      <c r="A446" s="10" t="s">
        <v>16</v>
      </c>
      <c r="B446" s="11">
        <v>4955</v>
      </c>
      <c r="C446" s="12"/>
      <c r="D446" s="12"/>
      <c r="E446" s="12"/>
      <c r="F446" s="14">
        <v>0</v>
      </c>
      <c r="G446" s="14">
        <f t="shared" si="26"/>
        <v>0</v>
      </c>
    </row>
    <row r="447" spans="1:7" s="18" customFormat="1" ht="27.75" customHeight="1" outlineLevel="1" x14ac:dyDescent="0.2">
      <c r="A447" s="28" t="s">
        <v>85</v>
      </c>
      <c r="B447" s="22">
        <v>91000</v>
      </c>
      <c r="C447" s="38"/>
      <c r="D447" s="38"/>
      <c r="E447" s="38"/>
      <c r="F447" s="23">
        <v>0</v>
      </c>
      <c r="G447" s="23">
        <f t="shared" si="26"/>
        <v>0</v>
      </c>
    </row>
    <row r="448" spans="1:7" ht="27.75" customHeight="1" outlineLevel="2" x14ac:dyDescent="0.25">
      <c r="A448" s="5" t="s">
        <v>20</v>
      </c>
      <c r="B448" s="6">
        <v>91000</v>
      </c>
      <c r="C448" s="15"/>
      <c r="D448" s="15"/>
      <c r="E448" s="15"/>
      <c r="F448" s="7">
        <v>0</v>
      </c>
      <c r="G448" s="7">
        <f t="shared" si="26"/>
        <v>0</v>
      </c>
    </row>
    <row r="449" spans="1:7" ht="15" customHeight="1" outlineLevel="3" x14ac:dyDescent="0.25">
      <c r="A449" s="10" t="s">
        <v>11</v>
      </c>
      <c r="B449" s="11">
        <v>91000</v>
      </c>
      <c r="C449" s="12"/>
      <c r="D449" s="12"/>
      <c r="E449" s="12"/>
      <c r="F449" s="14">
        <v>0</v>
      </c>
      <c r="G449" s="14">
        <f t="shared" si="26"/>
        <v>0</v>
      </c>
    </row>
    <row r="450" spans="1:7" ht="15" customHeight="1" outlineLevel="3" x14ac:dyDescent="0.25">
      <c r="A450" s="24" t="s">
        <v>48</v>
      </c>
      <c r="B450" s="25">
        <f>B451+B461+B471</f>
        <v>57515969</v>
      </c>
      <c r="C450" s="25">
        <f t="shared" ref="C450:E450" si="29">C451+C461+C471</f>
        <v>4756479</v>
      </c>
      <c r="D450" s="25">
        <f t="shared" si="29"/>
        <v>3687556.74</v>
      </c>
      <c r="E450" s="25">
        <f t="shared" si="29"/>
        <v>3687556.74</v>
      </c>
      <c r="F450" s="26">
        <f t="shared" ref="F450" si="30">D450/C450</f>
        <v>0.77527026609389005</v>
      </c>
      <c r="G450" s="26">
        <f t="shared" si="26"/>
        <v>6.4113615820329831E-2</v>
      </c>
    </row>
    <row r="451" spans="1:7" ht="15" customHeight="1" outlineLevel="1" x14ac:dyDescent="0.25">
      <c r="A451" s="28" t="s">
        <v>86</v>
      </c>
      <c r="B451" s="22">
        <v>42164259</v>
      </c>
      <c r="C451" s="38">
        <f>C452</f>
        <v>3479661</v>
      </c>
      <c r="D451" s="22">
        <v>2786144.43</v>
      </c>
      <c r="E451" s="22">
        <v>2786144.43</v>
      </c>
      <c r="F451" s="23">
        <f t="shared" si="28"/>
        <v>0.80069421417776043</v>
      </c>
      <c r="G451" s="23">
        <f t="shared" si="26"/>
        <v>6.6078344457565358E-2</v>
      </c>
    </row>
    <row r="452" spans="1:7" ht="27" customHeight="1" outlineLevel="2" x14ac:dyDescent="0.25">
      <c r="A452" s="5" t="s">
        <v>25</v>
      </c>
      <c r="B452" s="6">
        <f>SUM(B453:B460)</f>
        <v>42164259</v>
      </c>
      <c r="C452" s="6">
        <f t="shared" ref="C452:E452" si="31">SUM(C453:C460)</f>
        <v>3479661</v>
      </c>
      <c r="D452" s="6">
        <f t="shared" si="31"/>
        <v>2786144.43</v>
      </c>
      <c r="E452" s="6">
        <f t="shared" si="31"/>
        <v>2786144.43</v>
      </c>
      <c r="F452" s="7">
        <f t="shared" si="28"/>
        <v>0.80069421417776043</v>
      </c>
      <c r="G452" s="7">
        <f t="shared" si="26"/>
        <v>6.6078344457565358E-2</v>
      </c>
    </row>
    <row r="453" spans="1:7" ht="15" customHeight="1" outlineLevel="3" x14ac:dyDescent="0.25">
      <c r="A453" s="10" t="s">
        <v>9</v>
      </c>
      <c r="B453" s="11">
        <v>30066049</v>
      </c>
      <c r="C453" s="30">
        <v>2300000</v>
      </c>
      <c r="D453" s="11">
        <v>2283864.29</v>
      </c>
      <c r="E453" s="11">
        <v>2283864.29</v>
      </c>
      <c r="F453" s="14">
        <f t="shared" si="28"/>
        <v>0.99298447391304345</v>
      </c>
      <c r="G453" s="14">
        <f t="shared" si="26"/>
        <v>7.5961570141790169E-2</v>
      </c>
    </row>
    <row r="454" spans="1:7" ht="15" customHeight="1" outlineLevel="3" x14ac:dyDescent="0.25">
      <c r="A454" s="10" t="s">
        <v>10</v>
      </c>
      <c r="B454" s="11">
        <v>6614531</v>
      </c>
      <c r="C454" s="30">
        <v>506000</v>
      </c>
      <c r="D454" s="11">
        <v>502280.14</v>
      </c>
      <c r="E454" s="11">
        <v>502280.14</v>
      </c>
      <c r="F454" s="14">
        <f t="shared" si="28"/>
        <v>0.99264849802371546</v>
      </c>
      <c r="G454" s="14">
        <f t="shared" si="26"/>
        <v>7.5935866050064624E-2</v>
      </c>
    </row>
    <row r="455" spans="1:7" ht="15" customHeight="1" outlineLevel="3" x14ac:dyDescent="0.25">
      <c r="A455" s="10" t="s">
        <v>11</v>
      </c>
      <c r="B455" s="11">
        <v>200000</v>
      </c>
      <c r="C455" s="31"/>
      <c r="D455" s="12"/>
      <c r="E455" s="12"/>
      <c r="F455" s="14">
        <v>0</v>
      </c>
      <c r="G455" s="14">
        <f t="shared" ref="G455:G518" si="32">D455/B455</f>
        <v>0</v>
      </c>
    </row>
    <row r="456" spans="1:7" ht="15" customHeight="1" outlineLevel="3" x14ac:dyDescent="0.25">
      <c r="A456" s="10" t="s">
        <v>12</v>
      </c>
      <c r="B456" s="11">
        <v>1700000</v>
      </c>
      <c r="C456" s="30">
        <v>100000</v>
      </c>
      <c r="D456" s="12"/>
      <c r="E456" s="12"/>
      <c r="F456" s="14">
        <f t="shared" si="28"/>
        <v>0</v>
      </c>
      <c r="G456" s="14">
        <f t="shared" si="32"/>
        <v>0</v>
      </c>
    </row>
    <row r="457" spans="1:7" ht="15" customHeight="1" outlineLevel="3" x14ac:dyDescent="0.25">
      <c r="A457" s="10" t="s">
        <v>13</v>
      </c>
      <c r="B457" s="11">
        <v>2693715</v>
      </c>
      <c r="C457" s="30">
        <v>485094</v>
      </c>
      <c r="D457" s="12"/>
      <c r="E457" s="12"/>
      <c r="F457" s="14">
        <f t="shared" si="28"/>
        <v>0</v>
      </c>
      <c r="G457" s="14">
        <f t="shared" si="32"/>
        <v>0</v>
      </c>
    </row>
    <row r="458" spans="1:7" ht="15" customHeight="1" outlineLevel="3" x14ac:dyDescent="0.25">
      <c r="A458" s="10" t="s">
        <v>14</v>
      </c>
      <c r="B458" s="11">
        <v>74803</v>
      </c>
      <c r="C458" s="30">
        <v>6862</v>
      </c>
      <c r="D458" s="12"/>
      <c r="E458" s="12"/>
      <c r="F458" s="14">
        <f t="shared" si="28"/>
        <v>0</v>
      </c>
      <c r="G458" s="14">
        <f t="shared" si="32"/>
        <v>0</v>
      </c>
    </row>
    <row r="459" spans="1:7" ht="15" customHeight="1" outlineLevel="3" x14ac:dyDescent="0.25">
      <c r="A459" s="10" t="s">
        <v>15</v>
      </c>
      <c r="B459" s="11">
        <v>770161</v>
      </c>
      <c r="C459" s="30">
        <v>77957</v>
      </c>
      <c r="D459" s="12"/>
      <c r="E459" s="12"/>
      <c r="F459" s="14">
        <f t="shared" si="28"/>
        <v>0</v>
      </c>
      <c r="G459" s="14">
        <f t="shared" si="32"/>
        <v>0</v>
      </c>
    </row>
    <row r="460" spans="1:7" ht="15" customHeight="1" outlineLevel="3" x14ac:dyDescent="0.25">
      <c r="A460" s="10" t="s">
        <v>26</v>
      </c>
      <c r="B460" s="11">
        <v>45000</v>
      </c>
      <c r="C460" s="30">
        <v>3748</v>
      </c>
      <c r="D460" s="12"/>
      <c r="E460" s="12"/>
      <c r="F460" s="14">
        <f t="shared" si="28"/>
        <v>0</v>
      </c>
      <c r="G460" s="14">
        <f t="shared" si="32"/>
        <v>0</v>
      </c>
    </row>
    <row r="461" spans="1:7" s="18" customFormat="1" ht="26.1" customHeight="1" outlineLevel="1" x14ac:dyDescent="0.2">
      <c r="A461" s="28" t="s">
        <v>87</v>
      </c>
      <c r="B461" s="22">
        <v>10907467</v>
      </c>
      <c r="C461" s="22">
        <f>C462</f>
        <v>925677</v>
      </c>
      <c r="D461" s="22">
        <v>582437.43999999994</v>
      </c>
      <c r="E461" s="22">
        <v>582437.43999999994</v>
      </c>
      <c r="F461" s="23">
        <f t="shared" si="28"/>
        <v>0.62920158975538976</v>
      </c>
      <c r="G461" s="23">
        <f t="shared" si="32"/>
        <v>5.3398047411007517E-2</v>
      </c>
    </row>
    <row r="462" spans="1:7" ht="28.5" customHeight="1" outlineLevel="2" x14ac:dyDescent="0.25">
      <c r="A462" s="5" t="s">
        <v>25</v>
      </c>
      <c r="B462" s="6">
        <f>SUM(B463:B470)</f>
        <v>10907467</v>
      </c>
      <c r="C462" s="6">
        <f t="shared" ref="C462:E462" si="33">SUM(C463:C470)</f>
        <v>925677</v>
      </c>
      <c r="D462" s="6">
        <f t="shared" si="33"/>
        <v>582437.44000000006</v>
      </c>
      <c r="E462" s="6">
        <f t="shared" si="33"/>
        <v>582437.44000000006</v>
      </c>
      <c r="F462" s="7">
        <f t="shared" si="28"/>
        <v>0.62920158975538987</v>
      </c>
      <c r="G462" s="7">
        <f t="shared" si="32"/>
        <v>5.3398047411007531E-2</v>
      </c>
    </row>
    <row r="463" spans="1:7" ht="15.75" customHeight="1" outlineLevel="3" x14ac:dyDescent="0.25">
      <c r="A463" s="10" t="s">
        <v>9</v>
      </c>
      <c r="B463" s="11">
        <v>6413107</v>
      </c>
      <c r="C463" s="30">
        <v>507000</v>
      </c>
      <c r="D463" s="11">
        <v>483746.27</v>
      </c>
      <c r="E463" s="11">
        <v>483746.27</v>
      </c>
      <c r="F463" s="14">
        <f t="shared" si="28"/>
        <v>0.95413465483234716</v>
      </c>
      <c r="G463" s="14">
        <f t="shared" si="32"/>
        <v>7.543087461350638E-2</v>
      </c>
    </row>
    <row r="464" spans="1:7" ht="15.75" customHeight="1" outlineLevel="3" x14ac:dyDescent="0.25">
      <c r="A464" s="10" t="s">
        <v>10</v>
      </c>
      <c r="B464" s="11">
        <v>1410883</v>
      </c>
      <c r="C464" s="30">
        <v>111540</v>
      </c>
      <c r="D464" s="11">
        <v>98691.17</v>
      </c>
      <c r="E464" s="11">
        <v>98691.17</v>
      </c>
      <c r="F464" s="14">
        <f t="shared" si="28"/>
        <v>0.8848051819974897</v>
      </c>
      <c r="G464" s="14">
        <f t="shared" si="32"/>
        <v>6.9949932063821024E-2</v>
      </c>
    </row>
    <row r="465" spans="1:7" ht="15.75" customHeight="1" outlineLevel="3" x14ac:dyDescent="0.25">
      <c r="A465" s="10" t="s">
        <v>11</v>
      </c>
      <c r="B465" s="11">
        <v>400000</v>
      </c>
      <c r="C465" s="31"/>
      <c r="D465" s="12"/>
      <c r="E465" s="12"/>
      <c r="F465" s="14">
        <v>0</v>
      </c>
      <c r="G465" s="14">
        <f t="shared" si="32"/>
        <v>0</v>
      </c>
    </row>
    <row r="466" spans="1:7" ht="15.75" customHeight="1" outlineLevel="3" x14ac:dyDescent="0.25">
      <c r="A466" s="10" t="s">
        <v>12</v>
      </c>
      <c r="B466" s="11">
        <v>794664</v>
      </c>
      <c r="C466" s="30">
        <v>20000</v>
      </c>
      <c r="D466" s="12"/>
      <c r="E466" s="12"/>
      <c r="F466" s="14">
        <f t="shared" si="28"/>
        <v>0</v>
      </c>
      <c r="G466" s="14">
        <f t="shared" si="32"/>
        <v>0</v>
      </c>
    </row>
    <row r="467" spans="1:7" ht="15.75" customHeight="1" outlineLevel="3" x14ac:dyDescent="0.25">
      <c r="A467" s="10" t="s">
        <v>13</v>
      </c>
      <c r="B467" s="11">
        <v>1329702</v>
      </c>
      <c r="C467" s="30">
        <v>207934</v>
      </c>
      <c r="D467" s="12"/>
      <c r="E467" s="12"/>
      <c r="F467" s="14">
        <f t="shared" si="28"/>
        <v>0</v>
      </c>
      <c r="G467" s="14">
        <f t="shared" si="32"/>
        <v>0</v>
      </c>
    </row>
    <row r="468" spans="1:7" ht="15.75" customHeight="1" outlineLevel="3" x14ac:dyDescent="0.25">
      <c r="A468" s="10" t="s">
        <v>14</v>
      </c>
      <c r="B468" s="11">
        <v>68121</v>
      </c>
      <c r="C468" s="30">
        <v>5755</v>
      </c>
      <c r="D468" s="12"/>
      <c r="E468" s="12"/>
      <c r="F468" s="14">
        <f t="shared" ref="F468:F527" si="34">D468/C468</f>
        <v>0</v>
      </c>
      <c r="G468" s="14">
        <f t="shared" si="32"/>
        <v>0</v>
      </c>
    </row>
    <row r="469" spans="1:7" ht="15.75" customHeight="1" outlineLevel="3" x14ac:dyDescent="0.25">
      <c r="A469" s="10" t="s">
        <v>15</v>
      </c>
      <c r="B469" s="11">
        <v>471490</v>
      </c>
      <c r="C469" s="30">
        <v>71823</v>
      </c>
      <c r="D469" s="12"/>
      <c r="E469" s="12"/>
      <c r="F469" s="14">
        <f t="shared" si="34"/>
        <v>0</v>
      </c>
      <c r="G469" s="14">
        <f t="shared" si="32"/>
        <v>0</v>
      </c>
    </row>
    <row r="470" spans="1:7" ht="15.75" customHeight="1" outlineLevel="3" x14ac:dyDescent="0.25">
      <c r="A470" s="10" t="s">
        <v>26</v>
      </c>
      <c r="B470" s="11">
        <v>19500</v>
      </c>
      <c r="C470" s="30">
        <v>1625</v>
      </c>
      <c r="D470" s="12"/>
      <c r="E470" s="12"/>
      <c r="F470" s="14">
        <f t="shared" si="34"/>
        <v>0</v>
      </c>
      <c r="G470" s="14">
        <f t="shared" si="32"/>
        <v>0</v>
      </c>
    </row>
    <row r="471" spans="1:7" s="18" customFormat="1" ht="27.75" customHeight="1" outlineLevel="1" x14ac:dyDescent="0.2">
      <c r="A471" s="28" t="s">
        <v>88</v>
      </c>
      <c r="B471" s="22">
        <v>4444243</v>
      </c>
      <c r="C471" s="22">
        <f>C472</f>
        <v>351141</v>
      </c>
      <c r="D471" s="22">
        <v>318974.87</v>
      </c>
      <c r="E471" s="22">
        <v>318974.87</v>
      </c>
      <c r="F471" s="23">
        <f t="shared" si="34"/>
        <v>0.90839540241669303</v>
      </c>
      <c r="G471" s="23">
        <f t="shared" si="32"/>
        <v>7.1772598843042559E-2</v>
      </c>
    </row>
    <row r="472" spans="1:7" ht="27.75" customHeight="1" outlineLevel="2" x14ac:dyDescent="0.25">
      <c r="A472" s="5" t="s">
        <v>25</v>
      </c>
      <c r="B472" s="6">
        <f>SUM(B473:B480)</f>
        <v>4444243</v>
      </c>
      <c r="C472" s="6">
        <f t="shared" ref="C472:E472" si="35">SUM(C473:C480)</f>
        <v>351141</v>
      </c>
      <c r="D472" s="6">
        <f t="shared" si="35"/>
        <v>318974.87</v>
      </c>
      <c r="E472" s="6">
        <f t="shared" si="35"/>
        <v>318974.87</v>
      </c>
      <c r="F472" s="7">
        <f t="shared" si="34"/>
        <v>0.90839540241669303</v>
      </c>
      <c r="G472" s="7">
        <f t="shared" si="32"/>
        <v>7.1772598843042559E-2</v>
      </c>
    </row>
    <row r="473" spans="1:7" ht="14.25" customHeight="1" outlineLevel="3" x14ac:dyDescent="0.25">
      <c r="A473" s="10" t="s">
        <v>9</v>
      </c>
      <c r="B473" s="11">
        <v>3352525</v>
      </c>
      <c r="C473" s="30">
        <v>263000</v>
      </c>
      <c r="D473" s="11">
        <v>261454.8</v>
      </c>
      <c r="E473" s="11">
        <v>261454.8</v>
      </c>
      <c r="F473" s="14">
        <f t="shared" si="34"/>
        <v>0.9941247148288973</v>
      </c>
      <c r="G473" s="14">
        <f t="shared" si="32"/>
        <v>7.7987427386820379E-2</v>
      </c>
    </row>
    <row r="474" spans="1:7" ht="13.5" customHeight="1" outlineLevel="3" x14ac:dyDescent="0.25">
      <c r="A474" s="10" t="s">
        <v>10</v>
      </c>
      <c r="B474" s="11">
        <v>737556</v>
      </c>
      <c r="C474" s="30">
        <v>57860</v>
      </c>
      <c r="D474" s="11">
        <v>57520.07</v>
      </c>
      <c r="E474" s="11">
        <v>57520.07</v>
      </c>
      <c r="F474" s="14">
        <f t="shared" si="34"/>
        <v>0.99412495679225721</v>
      </c>
      <c r="G474" s="14">
        <f t="shared" si="32"/>
        <v>7.7987393499612229E-2</v>
      </c>
    </row>
    <row r="475" spans="1:7" ht="13.5" customHeight="1" outlineLevel="3" x14ac:dyDescent="0.25">
      <c r="A475" s="10" t="s">
        <v>11</v>
      </c>
      <c r="B475" s="11">
        <v>50000</v>
      </c>
      <c r="C475" s="31"/>
      <c r="D475" s="12"/>
      <c r="E475" s="12"/>
      <c r="F475" s="14">
        <v>0</v>
      </c>
      <c r="G475" s="14">
        <f t="shared" si="32"/>
        <v>0</v>
      </c>
    </row>
    <row r="476" spans="1:7" ht="13.5" customHeight="1" outlineLevel="3" x14ac:dyDescent="0.25">
      <c r="A476" s="10" t="s">
        <v>12</v>
      </c>
      <c r="B476" s="11">
        <v>230000</v>
      </c>
      <c r="C476" s="30">
        <v>20000</v>
      </c>
      <c r="D476" s="12"/>
      <c r="E476" s="12"/>
      <c r="F476" s="14">
        <f t="shared" si="34"/>
        <v>0</v>
      </c>
      <c r="G476" s="14">
        <f t="shared" si="32"/>
        <v>0</v>
      </c>
    </row>
    <row r="477" spans="1:7" ht="13.5" customHeight="1" outlineLevel="3" x14ac:dyDescent="0.25">
      <c r="A477" s="10" t="s">
        <v>13</v>
      </c>
      <c r="B477" s="11">
        <v>33548</v>
      </c>
      <c r="C477" s="30">
        <v>5966</v>
      </c>
      <c r="D477" s="12"/>
      <c r="E477" s="12"/>
      <c r="F477" s="14">
        <f t="shared" si="34"/>
        <v>0</v>
      </c>
      <c r="G477" s="14">
        <f t="shared" si="32"/>
        <v>0</v>
      </c>
    </row>
    <row r="478" spans="1:7" ht="13.5" customHeight="1" outlineLevel="3" x14ac:dyDescent="0.25">
      <c r="A478" s="10" t="s">
        <v>14</v>
      </c>
      <c r="B478" s="11">
        <v>3664</v>
      </c>
      <c r="C478" s="32">
        <v>297</v>
      </c>
      <c r="D478" s="12"/>
      <c r="E478" s="12"/>
      <c r="F478" s="14">
        <f t="shared" si="34"/>
        <v>0</v>
      </c>
      <c r="G478" s="14">
        <f t="shared" si="32"/>
        <v>0</v>
      </c>
    </row>
    <row r="479" spans="1:7" ht="13.5" customHeight="1" outlineLevel="3" x14ac:dyDescent="0.25">
      <c r="A479" s="10" t="s">
        <v>15</v>
      </c>
      <c r="B479" s="11">
        <v>33750</v>
      </c>
      <c r="C479" s="30">
        <v>3750</v>
      </c>
      <c r="D479" s="12"/>
      <c r="E479" s="12"/>
      <c r="F479" s="14">
        <f t="shared" si="34"/>
        <v>0</v>
      </c>
      <c r="G479" s="14">
        <f t="shared" si="32"/>
        <v>0</v>
      </c>
    </row>
    <row r="480" spans="1:7" ht="13.5" customHeight="1" outlineLevel="3" x14ac:dyDescent="0.25">
      <c r="A480" s="10" t="s">
        <v>26</v>
      </c>
      <c r="B480" s="11">
        <v>3200</v>
      </c>
      <c r="C480" s="32">
        <v>268</v>
      </c>
      <c r="D480" s="12"/>
      <c r="E480" s="12"/>
      <c r="F480" s="14">
        <f t="shared" si="34"/>
        <v>0</v>
      </c>
      <c r="G480" s="14">
        <f t="shared" si="32"/>
        <v>0</v>
      </c>
    </row>
    <row r="481" spans="1:7" ht="16.5" customHeight="1" outlineLevel="3" x14ac:dyDescent="0.25">
      <c r="A481" s="24" t="s">
        <v>49</v>
      </c>
      <c r="B481" s="25">
        <f>B482+B528</f>
        <v>60535436</v>
      </c>
      <c r="C481" s="25">
        <f t="shared" ref="C481:E481" si="36">C482+C528</f>
        <v>4657504</v>
      </c>
      <c r="D481" s="25">
        <f t="shared" si="36"/>
        <v>3836907.39</v>
      </c>
      <c r="E481" s="25">
        <f t="shared" si="36"/>
        <v>3836907.39</v>
      </c>
      <c r="F481" s="39">
        <f t="shared" si="34"/>
        <v>0.82381193660810603</v>
      </c>
      <c r="G481" s="39">
        <f t="shared" si="32"/>
        <v>6.3382832329810929E-2</v>
      </c>
    </row>
    <row r="482" spans="1:7" ht="39" customHeight="1" outlineLevel="1" x14ac:dyDescent="0.25">
      <c r="A482" s="28" t="s">
        <v>89</v>
      </c>
      <c r="B482" s="22">
        <v>60415436</v>
      </c>
      <c r="C482" s="22">
        <v>4657504</v>
      </c>
      <c r="D482" s="22">
        <v>3836907.39</v>
      </c>
      <c r="E482" s="22">
        <v>3836907.39</v>
      </c>
      <c r="F482" s="23">
        <f t="shared" si="34"/>
        <v>0.82381193660810603</v>
      </c>
      <c r="G482" s="23">
        <f t="shared" si="32"/>
        <v>6.3508726312924396E-2</v>
      </c>
    </row>
    <row r="483" spans="1:7" ht="15" customHeight="1" outlineLevel="2" x14ac:dyDescent="0.25">
      <c r="A483" s="5" t="s">
        <v>50</v>
      </c>
      <c r="B483" s="6">
        <v>14990964</v>
      </c>
      <c r="C483" s="6">
        <v>1207054</v>
      </c>
      <c r="D483" s="6">
        <v>955644.81</v>
      </c>
      <c r="E483" s="6">
        <v>955644.81</v>
      </c>
      <c r="F483" s="7">
        <f t="shared" si="34"/>
        <v>0.79171670032989416</v>
      </c>
      <c r="G483" s="7">
        <f t="shared" si="32"/>
        <v>6.3748055828831293E-2</v>
      </c>
    </row>
    <row r="484" spans="1:7" ht="13.5" customHeight="1" outlineLevel="3" x14ac:dyDescent="0.25">
      <c r="A484" s="10" t="s">
        <v>9</v>
      </c>
      <c r="B484" s="11">
        <v>9875516</v>
      </c>
      <c r="C484" s="11">
        <v>785000</v>
      </c>
      <c r="D484" s="11">
        <v>784999.59</v>
      </c>
      <c r="E484" s="11">
        <v>784999.59</v>
      </c>
      <c r="F484" s="14">
        <f t="shared" si="34"/>
        <v>0.99999947770700637</v>
      </c>
      <c r="G484" s="14">
        <f t="shared" si="32"/>
        <v>7.9489475790429587E-2</v>
      </c>
    </row>
    <row r="485" spans="1:7" ht="13.5" customHeight="1" outlineLevel="3" x14ac:dyDescent="0.25">
      <c r="A485" s="10" t="s">
        <v>10</v>
      </c>
      <c r="B485" s="11">
        <v>2172614</v>
      </c>
      <c r="C485" s="11">
        <v>172700</v>
      </c>
      <c r="D485" s="11">
        <v>170645.22</v>
      </c>
      <c r="E485" s="11">
        <v>170645.22</v>
      </c>
      <c r="F485" s="14">
        <f t="shared" si="34"/>
        <v>0.98810202663578461</v>
      </c>
      <c r="G485" s="14">
        <f t="shared" si="32"/>
        <v>7.8543735794761524E-2</v>
      </c>
    </row>
    <row r="486" spans="1:7" ht="13.5" customHeight="1" outlineLevel="3" x14ac:dyDescent="0.25">
      <c r="A486" s="10" t="s">
        <v>11</v>
      </c>
      <c r="B486" s="11">
        <v>236300</v>
      </c>
      <c r="C486" s="12"/>
      <c r="D486" s="12"/>
      <c r="E486" s="12"/>
      <c r="F486" s="14">
        <v>0</v>
      </c>
      <c r="G486" s="14">
        <f t="shared" si="32"/>
        <v>0</v>
      </c>
    </row>
    <row r="487" spans="1:7" ht="13.5" customHeight="1" outlineLevel="3" x14ac:dyDescent="0.25">
      <c r="A487" s="10" t="s">
        <v>12</v>
      </c>
      <c r="B487" s="11">
        <v>654559</v>
      </c>
      <c r="C487" s="11">
        <v>100559</v>
      </c>
      <c r="D487" s="12"/>
      <c r="E487" s="12"/>
      <c r="F487" s="14">
        <f t="shared" si="34"/>
        <v>0</v>
      </c>
      <c r="G487" s="14">
        <f t="shared" si="32"/>
        <v>0</v>
      </c>
    </row>
    <row r="488" spans="1:7" ht="13.5" customHeight="1" outlineLevel="3" x14ac:dyDescent="0.25">
      <c r="A488" s="10" t="s">
        <v>21</v>
      </c>
      <c r="B488" s="11">
        <v>545000</v>
      </c>
      <c r="C488" s="12"/>
      <c r="D488" s="12"/>
      <c r="E488" s="12"/>
      <c r="F488" s="14">
        <v>0</v>
      </c>
      <c r="G488" s="14">
        <f t="shared" si="32"/>
        <v>0</v>
      </c>
    </row>
    <row r="489" spans="1:7" ht="13.5" customHeight="1" outlineLevel="3" x14ac:dyDescent="0.25">
      <c r="A489" s="10" t="s">
        <v>13</v>
      </c>
      <c r="B489" s="11">
        <v>444732</v>
      </c>
      <c r="C489" s="11">
        <v>80363</v>
      </c>
      <c r="D489" s="12"/>
      <c r="E489" s="12"/>
      <c r="F489" s="14">
        <f t="shared" si="34"/>
        <v>0</v>
      </c>
      <c r="G489" s="14">
        <f t="shared" si="32"/>
        <v>0</v>
      </c>
    </row>
    <row r="490" spans="1:7" ht="13.5" customHeight="1" outlineLevel="3" x14ac:dyDescent="0.25">
      <c r="A490" s="10" t="s">
        <v>14</v>
      </c>
      <c r="B490" s="11">
        <v>158055</v>
      </c>
      <c r="C490" s="11">
        <v>11174</v>
      </c>
      <c r="D490" s="12"/>
      <c r="E490" s="12"/>
      <c r="F490" s="14">
        <f t="shared" si="34"/>
        <v>0</v>
      </c>
      <c r="G490" s="14">
        <f t="shared" si="32"/>
        <v>0</v>
      </c>
    </row>
    <row r="491" spans="1:7" ht="13.5" customHeight="1" outlineLevel="3" x14ac:dyDescent="0.25">
      <c r="A491" s="10" t="s">
        <v>15</v>
      </c>
      <c r="B491" s="11">
        <v>515954</v>
      </c>
      <c r="C491" s="11">
        <v>55662</v>
      </c>
      <c r="D491" s="12"/>
      <c r="E491" s="12"/>
      <c r="F491" s="14">
        <f t="shared" si="34"/>
        <v>0</v>
      </c>
      <c r="G491" s="14">
        <f t="shared" si="32"/>
        <v>0</v>
      </c>
    </row>
    <row r="492" spans="1:7" ht="13.5" customHeight="1" outlineLevel="3" x14ac:dyDescent="0.25">
      <c r="A492" s="10" t="s">
        <v>26</v>
      </c>
      <c r="B492" s="11">
        <v>21734</v>
      </c>
      <c r="C492" s="11">
        <v>1596</v>
      </c>
      <c r="D492" s="12"/>
      <c r="E492" s="12"/>
      <c r="F492" s="14">
        <f t="shared" si="34"/>
        <v>0</v>
      </c>
      <c r="G492" s="14">
        <f t="shared" si="32"/>
        <v>0</v>
      </c>
    </row>
    <row r="493" spans="1:7" ht="13.5" customHeight="1" outlineLevel="3" x14ac:dyDescent="0.25">
      <c r="A493" s="10" t="s">
        <v>56</v>
      </c>
      <c r="B493" s="11">
        <v>366500</v>
      </c>
      <c r="C493" s="12"/>
      <c r="D493" s="12"/>
      <c r="E493" s="12"/>
      <c r="F493" s="14">
        <v>0</v>
      </c>
      <c r="G493" s="14">
        <f t="shared" si="32"/>
        <v>0</v>
      </c>
    </row>
    <row r="494" spans="1:7" ht="16.5" customHeight="1" outlineLevel="2" x14ac:dyDescent="0.25">
      <c r="A494" s="5" t="s">
        <v>51</v>
      </c>
      <c r="B494" s="6">
        <v>19156129</v>
      </c>
      <c r="C494" s="6">
        <v>1414053</v>
      </c>
      <c r="D494" s="6">
        <v>1230421.1499999999</v>
      </c>
      <c r="E494" s="6">
        <v>1230421.1499999999</v>
      </c>
      <c r="F494" s="7">
        <f t="shared" si="34"/>
        <v>0.87013792976642312</v>
      </c>
      <c r="G494" s="7">
        <f t="shared" si="32"/>
        <v>6.4231199842097533E-2</v>
      </c>
    </row>
    <row r="495" spans="1:7" ht="14.25" customHeight="1" outlineLevel="3" x14ac:dyDescent="0.25">
      <c r="A495" s="10" t="s">
        <v>9</v>
      </c>
      <c r="B495" s="11">
        <v>14230943</v>
      </c>
      <c r="C495" s="11">
        <v>1010911</v>
      </c>
      <c r="D495" s="11">
        <v>1009489.24</v>
      </c>
      <c r="E495" s="11">
        <v>1009489.24</v>
      </c>
      <c r="F495" s="14">
        <f t="shared" si="34"/>
        <v>0.9985935853898118</v>
      </c>
      <c r="G495" s="14">
        <f t="shared" si="32"/>
        <v>7.0936215541022127E-2</v>
      </c>
    </row>
    <row r="496" spans="1:7" ht="14.25" customHeight="1" outlineLevel="3" x14ac:dyDescent="0.25">
      <c r="A496" s="10" t="s">
        <v>10</v>
      </c>
      <c r="B496" s="11">
        <v>3130807</v>
      </c>
      <c r="C496" s="11">
        <v>222400</v>
      </c>
      <c r="D496" s="11">
        <v>220931.91</v>
      </c>
      <c r="E496" s="11">
        <v>220931.91</v>
      </c>
      <c r="F496" s="14">
        <f t="shared" si="34"/>
        <v>0.99339887589928055</v>
      </c>
      <c r="G496" s="14">
        <f t="shared" si="32"/>
        <v>7.0567080628093651E-2</v>
      </c>
    </row>
    <row r="497" spans="1:7" ht="14.25" customHeight="1" outlineLevel="3" x14ac:dyDescent="0.25">
      <c r="A497" s="10" t="s">
        <v>11</v>
      </c>
      <c r="B497" s="11">
        <v>186200</v>
      </c>
      <c r="C497" s="12"/>
      <c r="D497" s="12"/>
      <c r="E497" s="12"/>
      <c r="F497" s="14">
        <v>0</v>
      </c>
      <c r="G497" s="14">
        <f t="shared" si="32"/>
        <v>0</v>
      </c>
    </row>
    <row r="498" spans="1:7" ht="14.25" customHeight="1" outlineLevel="3" x14ac:dyDescent="0.25">
      <c r="A498" s="10" t="s">
        <v>12</v>
      </c>
      <c r="B498" s="11">
        <v>413800</v>
      </c>
      <c r="C498" s="11">
        <v>34483</v>
      </c>
      <c r="D498" s="12"/>
      <c r="E498" s="12"/>
      <c r="F498" s="14">
        <f t="shared" si="34"/>
        <v>0</v>
      </c>
      <c r="G498" s="14">
        <f t="shared" si="32"/>
        <v>0</v>
      </c>
    </row>
    <row r="499" spans="1:7" ht="14.25" customHeight="1" outlineLevel="3" x14ac:dyDescent="0.25">
      <c r="A499" s="10" t="s">
        <v>21</v>
      </c>
      <c r="B499" s="11">
        <v>490000</v>
      </c>
      <c r="C499" s="11">
        <v>49000</v>
      </c>
      <c r="D499" s="12"/>
      <c r="E499" s="12"/>
      <c r="F499" s="14">
        <f t="shared" si="34"/>
        <v>0</v>
      </c>
      <c r="G499" s="14">
        <f t="shared" si="32"/>
        <v>0</v>
      </c>
    </row>
    <row r="500" spans="1:7" ht="14.25" customHeight="1" outlineLevel="3" x14ac:dyDescent="0.25">
      <c r="A500" s="10" t="s">
        <v>13</v>
      </c>
      <c r="B500" s="11">
        <v>408450</v>
      </c>
      <c r="C500" s="11">
        <v>76340</v>
      </c>
      <c r="D500" s="12"/>
      <c r="E500" s="12"/>
      <c r="F500" s="14">
        <f t="shared" si="34"/>
        <v>0</v>
      </c>
      <c r="G500" s="14">
        <f t="shared" si="32"/>
        <v>0</v>
      </c>
    </row>
    <row r="501" spans="1:7" ht="14.25" customHeight="1" outlineLevel="3" x14ac:dyDescent="0.25">
      <c r="A501" s="10" t="s">
        <v>14</v>
      </c>
      <c r="B501" s="11">
        <v>32834</v>
      </c>
      <c r="C501" s="11">
        <v>2738</v>
      </c>
      <c r="D501" s="12"/>
      <c r="E501" s="12"/>
      <c r="F501" s="14">
        <f t="shared" si="34"/>
        <v>0</v>
      </c>
      <c r="G501" s="14">
        <f t="shared" si="32"/>
        <v>0</v>
      </c>
    </row>
    <row r="502" spans="1:7" ht="14.25" customHeight="1" outlineLevel="3" x14ac:dyDescent="0.25">
      <c r="A502" s="10" t="s">
        <v>15</v>
      </c>
      <c r="B502" s="11">
        <v>191095</v>
      </c>
      <c r="C502" s="11">
        <v>15931</v>
      </c>
      <c r="D502" s="12"/>
      <c r="E502" s="12"/>
      <c r="F502" s="14">
        <f t="shared" si="34"/>
        <v>0</v>
      </c>
      <c r="G502" s="14">
        <f t="shared" si="32"/>
        <v>0</v>
      </c>
    </row>
    <row r="503" spans="1:7" ht="14.25" customHeight="1" outlineLevel="3" x14ac:dyDescent="0.25">
      <c r="A503" s="10" t="s">
        <v>26</v>
      </c>
      <c r="B503" s="11">
        <v>27000</v>
      </c>
      <c r="C503" s="11">
        <v>2250</v>
      </c>
      <c r="D503" s="12"/>
      <c r="E503" s="12"/>
      <c r="F503" s="14">
        <f t="shared" si="34"/>
        <v>0</v>
      </c>
      <c r="G503" s="14">
        <f t="shared" si="32"/>
        <v>0</v>
      </c>
    </row>
    <row r="504" spans="1:7" ht="14.25" customHeight="1" outlineLevel="3" x14ac:dyDescent="0.25">
      <c r="A504" s="10" t="s">
        <v>56</v>
      </c>
      <c r="B504" s="11">
        <v>45000</v>
      </c>
      <c r="C504" s="12"/>
      <c r="D504" s="12"/>
      <c r="E504" s="12"/>
      <c r="F504" s="14">
        <v>0</v>
      </c>
      <c r="G504" s="14">
        <f t="shared" si="32"/>
        <v>0</v>
      </c>
    </row>
    <row r="505" spans="1:7" ht="14.25" customHeight="1" outlineLevel="2" x14ac:dyDescent="0.25">
      <c r="A505" s="5" t="s">
        <v>98</v>
      </c>
      <c r="B505" s="6">
        <v>11496447</v>
      </c>
      <c r="C505" s="6">
        <v>850666</v>
      </c>
      <c r="D505" s="6">
        <v>747679.15</v>
      </c>
      <c r="E505" s="6">
        <v>747679.15</v>
      </c>
      <c r="F505" s="7">
        <f t="shared" si="34"/>
        <v>0.87893385888233455</v>
      </c>
      <c r="G505" s="7">
        <f t="shared" si="32"/>
        <v>6.50356714557115E-2</v>
      </c>
    </row>
    <row r="506" spans="1:7" ht="13.5" customHeight="1" outlineLevel="3" x14ac:dyDescent="0.25">
      <c r="A506" s="10" t="s">
        <v>9</v>
      </c>
      <c r="B506" s="11">
        <v>8357738</v>
      </c>
      <c r="C506" s="11">
        <v>620000</v>
      </c>
      <c r="D506" s="11">
        <v>612173.97</v>
      </c>
      <c r="E506" s="11">
        <v>612173.97</v>
      </c>
      <c r="F506" s="14">
        <f t="shared" si="34"/>
        <v>0.98737737096774192</v>
      </c>
      <c r="G506" s="14">
        <f t="shared" si="32"/>
        <v>7.3246370010641632E-2</v>
      </c>
    </row>
    <row r="507" spans="1:7" ht="13.5" customHeight="1" outlineLevel="3" x14ac:dyDescent="0.25">
      <c r="A507" s="10" t="s">
        <v>10</v>
      </c>
      <c r="B507" s="11">
        <v>1838703</v>
      </c>
      <c r="C507" s="11">
        <v>136400</v>
      </c>
      <c r="D507" s="11">
        <v>135505.18</v>
      </c>
      <c r="E507" s="11">
        <v>135505.18</v>
      </c>
      <c r="F507" s="14">
        <f t="shared" si="34"/>
        <v>0.99343973607038116</v>
      </c>
      <c r="G507" s="14">
        <f t="shared" si="32"/>
        <v>7.3696067282209246E-2</v>
      </c>
    </row>
    <row r="508" spans="1:7" ht="13.5" customHeight="1" outlineLevel="3" x14ac:dyDescent="0.25">
      <c r="A508" s="10" t="s">
        <v>11</v>
      </c>
      <c r="B508" s="11">
        <v>40300</v>
      </c>
      <c r="C508" s="12"/>
      <c r="D508" s="12"/>
      <c r="E508" s="12"/>
      <c r="F508" s="14">
        <v>0</v>
      </c>
      <c r="G508" s="14">
        <f t="shared" si="32"/>
        <v>0</v>
      </c>
    </row>
    <row r="509" spans="1:7" ht="13.5" customHeight="1" outlineLevel="3" x14ac:dyDescent="0.25">
      <c r="A509" s="10" t="s">
        <v>12</v>
      </c>
      <c r="B509" s="11">
        <v>527800</v>
      </c>
      <c r="C509" s="11">
        <v>20000</v>
      </c>
      <c r="D509" s="12"/>
      <c r="E509" s="12"/>
      <c r="F509" s="14">
        <f t="shared" si="34"/>
        <v>0</v>
      </c>
      <c r="G509" s="14">
        <f t="shared" si="32"/>
        <v>0</v>
      </c>
    </row>
    <row r="510" spans="1:7" ht="13.5" customHeight="1" outlineLevel="3" x14ac:dyDescent="0.25">
      <c r="A510" s="10" t="s">
        <v>21</v>
      </c>
      <c r="B510" s="11">
        <v>150000</v>
      </c>
      <c r="C510" s="11">
        <v>15000</v>
      </c>
      <c r="D510" s="12"/>
      <c r="E510" s="12"/>
      <c r="F510" s="14">
        <f t="shared" si="34"/>
        <v>0</v>
      </c>
      <c r="G510" s="14">
        <f t="shared" si="32"/>
        <v>0</v>
      </c>
    </row>
    <row r="511" spans="1:7" ht="13.5" customHeight="1" outlineLevel="3" x14ac:dyDescent="0.25">
      <c r="A511" s="10" t="s">
        <v>13</v>
      </c>
      <c r="B511" s="11">
        <v>195735</v>
      </c>
      <c r="C511" s="11">
        <v>30000</v>
      </c>
      <c r="D511" s="12"/>
      <c r="E511" s="12"/>
      <c r="F511" s="14">
        <f t="shared" si="34"/>
        <v>0</v>
      </c>
      <c r="G511" s="14">
        <f t="shared" si="32"/>
        <v>0</v>
      </c>
    </row>
    <row r="512" spans="1:7" ht="13.5" customHeight="1" outlineLevel="3" x14ac:dyDescent="0.25">
      <c r="A512" s="10" t="s">
        <v>14</v>
      </c>
      <c r="B512" s="11">
        <v>68109</v>
      </c>
      <c r="C512" s="11">
        <v>6400</v>
      </c>
      <c r="D512" s="12"/>
      <c r="E512" s="12"/>
      <c r="F512" s="14">
        <f t="shared" si="34"/>
        <v>0</v>
      </c>
      <c r="G512" s="14">
        <f t="shared" si="32"/>
        <v>0</v>
      </c>
    </row>
    <row r="513" spans="1:7" ht="13.5" customHeight="1" outlineLevel="3" x14ac:dyDescent="0.25">
      <c r="A513" s="10" t="s">
        <v>15</v>
      </c>
      <c r="B513" s="11">
        <v>221970</v>
      </c>
      <c r="C513" s="11">
        <v>21797</v>
      </c>
      <c r="D513" s="12"/>
      <c r="E513" s="12"/>
      <c r="F513" s="14">
        <f t="shared" si="34"/>
        <v>0</v>
      </c>
      <c r="G513" s="14">
        <f t="shared" si="32"/>
        <v>0</v>
      </c>
    </row>
    <row r="514" spans="1:7" ht="13.5" customHeight="1" outlineLevel="3" x14ac:dyDescent="0.25">
      <c r="A514" s="10" t="s">
        <v>26</v>
      </c>
      <c r="B514" s="11">
        <v>10692</v>
      </c>
      <c r="C514" s="11">
        <v>1069</v>
      </c>
      <c r="D514" s="12"/>
      <c r="E514" s="12"/>
      <c r="F514" s="14">
        <f t="shared" si="34"/>
        <v>0</v>
      </c>
      <c r="G514" s="14">
        <f t="shared" si="32"/>
        <v>0</v>
      </c>
    </row>
    <row r="515" spans="1:7" ht="26.25" customHeight="1" outlineLevel="3" x14ac:dyDescent="0.25">
      <c r="A515" s="10" t="s">
        <v>16</v>
      </c>
      <c r="B515" s="11">
        <v>11900</v>
      </c>
      <c r="C515" s="12"/>
      <c r="D515" s="12"/>
      <c r="E515" s="12"/>
      <c r="F515" s="14">
        <v>0</v>
      </c>
      <c r="G515" s="14">
        <f t="shared" si="32"/>
        <v>0</v>
      </c>
    </row>
    <row r="516" spans="1:7" ht="15" customHeight="1" outlineLevel="3" x14ac:dyDescent="0.25">
      <c r="A516" s="10" t="s">
        <v>56</v>
      </c>
      <c r="B516" s="11">
        <v>73500</v>
      </c>
      <c r="C516" s="12"/>
      <c r="D516" s="12"/>
      <c r="E516" s="12"/>
      <c r="F516" s="14">
        <v>0</v>
      </c>
      <c r="G516" s="14">
        <f t="shared" si="32"/>
        <v>0</v>
      </c>
    </row>
    <row r="517" spans="1:7" ht="12.75" customHeight="1" outlineLevel="2" x14ac:dyDescent="0.25">
      <c r="A517" s="5" t="s">
        <v>52</v>
      </c>
      <c r="B517" s="6">
        <v>14771896</v>
      </c>
      <c r="C517" s="6">
        <v>1185731</v>
      </c>
      <c r="D517" s="6">
        <v>903162.28</v>
      </c>
      <c r="E517" s="6">
        <v>903162.28</v>
      </c>
      <c r="F517" s="7">
        <f t="shared" si="34"/>
        <v>0.76169239060124094</v>
      </c>
      <c r="G517" s="7">
        <f t="shared" si="32"/>
        <v>6.1140579381279155E-2</v>
      </c>
    </row>
    <row r="518" spans="1:7" ht="13.5" customHeight="1" outlineLevel="3" x14ac:dyDescent="0.25">
      <c r="A518" s="10" t="s">
        <v>9</v>
      </c>
      <c r="B518" s="11">
        <v>10287124</v>
      </c>
      <c r="C518" s="11">
        <v>770000</v>
      </c>
      <c r="D518" s="11">
        <v>739773.12</v>
      </c>
      <c r="E518" s="11">
        <v>739773.12</v>
      </c>
      <c r="F518" s="14">
        <f t="shared" si="34"/>
        <v>0.96074431168831165</v>
      </c>
      <c r="G518" s="14">
        <f t="shared" si="32"/>
        <v>7.1912530654826362E-2</v>
      </c>
    </row>
    <row r="519" spans="1:7" ht="13.5" customHeight="1" outlineLevel="3" x14ac:dyDescent="0.25">
      <c r="A519" s="10" t="s">
        <v>10</v>
      </c>
      <c r="B519" s="11">
        <v>2263167</v>
      </c>
      <c r="C519" s="11">
        <v>169400</v>
      </c>
      <c r="D519" s="11">
        <v>163389.16</v>
      </c>
      <c r="E519" s="11">
        <v>163389.16</v>
      </c>
      <c r="F519" s="14">
        <f t="shared" si="34"/>
        <v>0.96451688311688311</v>
      </c>
      <c r="G519" s="14">
        <f t="shared" ref="G519:G572" si="37">D519/B519</f>
        <v>7.2194919773927418E-2</v>
      </c>
    </row>
    <row r="520" spans="1:7" ht="13.5" customHeight="1" outlineLevel="3" x14ac:dyDescent="0.25">
      <c r="A520" s="10" t="s">
        <v>11</v>
      </c>
      <c r="B520" s="11">
        <v>130000</v>
      </c>
      <c r="C520" s="12"/>
      <c r="D520" s="12"/>
      <c r="E520" s="12"/>
      <c r="F520" s="14">
        <v>0</v>
      </c>
      <c r="G520" s="14">
        <f t="shared" si="37"/>
        <v>0</v>
      </c>
    </row>
    <row r="521" spans="1:7" ht="13.5" customHeight="1" outlineLevel="3" x14ac:dyDescent="0.25">
      <c r="A521" s="10" t="s">
        <v>12</v>
      </c>
      <c r="B521" s="11">
        <v>320000</v>
      </c>
      <c r="C521" s="11">
        <v>20000</v>
      </c>
      <c r="D521" s="12"/>
      <c r="E521" s="12"/>
      <c r="F521" s="14">
        <f t="shared" si="34"/>
        <v>0</v>
      </c>
      <c r="G521" s="14">
        <f t="shared" si="37"/>
        <v>0</v>
      </c>
    </row>
    <row r="522" spans="1:7" ht="13.5" customHeight="1" outlineLevel="3" x14ac:dyDescent="0.25">
      <c r="A522" s="10" t="s">
        <v>21</v>
      </c>
      <c r="B522" s="11">
        <v>500000</v>
      </c>
      <c r="C522" s="11">
        <v>45000</v>
      </c>
      <c r="D522" s="12"/>
      <c r="E522" s="12"/>
      <c r="F522" s="14">
        <f t="shared" si="34"/>
        <v>0</v>
      </c>
      <c r="G522" s="14">
        <f t="shared" si="37"/>
        <v>0</v>
      </c>
    </row>
    <row r="523" spans="1:7" ht="13.5" customHeight="1" outlineLevel="3" x14ac:dyDescent="0.25">
      <c r="A523" s="10" t="s">
        <v>13</v>
      </c>
      <c r="B523" s="11">
        <v>822713</v>
      </c>
      <c r="C523" s="11">
        <v>137118</v>
      </c>
      <c r="D523" s="12"/>
      <c r="E523" s="12"/>
      <c r="F523" s="14">
        <f t="shared" si="34"/>
        <v>0</v>
      </c>
      <c r="G523" s="14">
        <f t="shared" si="37"/>
        <v>0</v>
      </c>
    </row>
    <row r="524" spans="1:7" ht="13.5" customHeight="1" outlineLevel="3" x14ac:dyDescent="0.25">
      <c r="A524" s="10" t="s">
        <v>14</v>
      </c>
      <c r="B524" s="11">
        <v>94589</v>
      </c>
      <c r="C524" s="11">
        <v>8599</v>
      </c>
      <c r="D524" s="12"/>
      <c r="E524" s="12"/>
      <c r="F524" s="14">
        <f t="shared" si="34"/>
        <v>0</v>
      </c>
      <c r="G524" s="14">
        <f t="shared" si="37"/>
        <v>0</v>
      </c>
    </row>
    <row r="525" spans="1:7" ht="13.5" customHeight="1" outlineLevel="3" x14ac:dyDescent="0.25">
      <c r="A525" s="10" t="s">
        <v>15</v>
      </c>
      <c r="B525" s="11">
        <v>338655</v>
      </c>
      <c r="C525" s="11">
        <v>34221</v>
      </c>
      <c r="D525" s="12"/>
      <c r="E525" s="12"/>
      <c r="F525" s="14">
        <f t="shared" si="34"/>
        <v>0</v>
      </c>
      <c r="G525" s="14">
        <f t="shared" si="37"/>
        <v>0</v>
      </c>
    </row>
    <row r="526" spans="1:7" ht="13.5" customHeight="1" outlineLevel="3" x14ac:dyDescent="0.25">
      <c r="A526" s="10" t="s">
        <v>32</v>
      </c>
      <c r="B526" s="11">
        <v>1060</v>
      </c>
      <c r="C526" s="13">
        <v>177</v>
      </c>
      <c r="D526" s="12"/>
      <c r="E526" s="12"/>
      <c r="F526" s="14">
        <f t="shared" si="34"/>
        <v>0</v>
      </c>
      <c r="G526" s="14">
        <f t="shared" si="37"/>
        <v>0</v>
      </c>
    </row>
    <row r="527" spans="1:7" ht="13.5" customHeight="1" outlineLevel="3" x14ac:dyDescent="0.25">
      <c r="A527" s="10" t="s">
        <v>26</v>
      </c>
      <c r="B527" s="11">
        <v>14588</v>
      </c>
      <c r="C527" s="11">
        <v>1216</v>
      </c>
      <c r="D527" s="12"/>
      <c r="E527" s="12"/>
      <c r="F527" s="14">
        <f t="shared" si="34"/>
        <v>0</v>
      </c>
      <c r="G527" s="14">
        <f t="shared" si="37"/>
        <v>0</v>
      </c>
    </row>
    <row r="528" spans="1:7" ht="41.25" customHeight="1" outlineLevel="1" x14ac:dyDescent="0.25">
      <c r="A528" s="28" t="s">
        <v>90</v>
      </c>
      <c r="B528" s="22">
        <v>120000</v>
      </c>
      <c r="C528" s="38"/>
      <c r="D528" s="38"/>
      <c r="E528" s="38"/>
      <c r="F528" s="23">
        <v>0</v>
      </c>
      <c r="G528" s="23">
        <f t="shared" si="37"/>
        <v>0</v>
      </c>
    </row>
    <row r="529" spans="1:7" ht="25.5" customHeight="1" outlineLevel="2" x14ac:dyDescent="0.25">
      <c r="A529" s="5" t="s">
        <v>22</v>
      </c>
      <c r="B529" s="6">
        <v>120000</v>
      </c>
      <c r="C529" s="15"/>
      <c r="D529" s="15"/>
      <c r="E529" s="15"/>
      <c r="F529" s="7">
        <v>0</v>
      </c>
      <c r="G529" s="7">
        <f t="shared" si="37"/>
        <v>0</v>
      </c>
    </row>
    <row r="530" spans="1:7" ht="15.75" customHeight="1" outlineLevel="3" x14ac:dyDescent="0.25">
      <c r="A530" s="10" t="s">
        <v>11</v>
      </c>
      <c r="B530" s="11">
        <v>120000</v>
      </c>
      <c r="C530" s="12"/>
      <c r="D530" s="12"/>
      <c r="E530" s="12"/>
      <c r="F530" s="14">
        <v>0</v>
      </c>
      <c r="G530" s="14">
        <f t="shared" si="37"/>
        <v>0</v>
      </c>
    </row>
    <row r="531" spans="1:7" ht="23.25" customHeight="1" outlineLevel="3" x14ac:dyDescent="0.25">
      <c r="A531" s="24" t="s">
        <v>53</v>
      </c>
      <c r="B531" s="25">
        <f>B532</f>
        <v>2929181</v>
      </c>
      <c r="C531" s="25">
        <f t="shared" ref="C531:E531" si="38">C532</f>
        <v>244098</v>
      </c>
      <c r="D531" s="25">
        <f t="shared" si="38"/>
        <v>0</v>
      </c>
      <c r="E531" s="25">
        <f t="shared" si="38"/>
        <v>0</v>
      </c>
      <c r="F531" s="26">
        <f t="shared" ref="F531:F558" si="39">D531/C531</f>
        <v>0</v>
      </c>
      <c r="G531" s="26">
        <f t="shared" si="37"/>
        <v>0</v>
      </c>
    </row>
    <row r="532" spans="1:7" s="18" customFormat="1" ht="26.25" customHeight="1" outlineLevel="1" x14ac:dyDescent="0.2">
      <c r="A532" s="28" t="s">
        <v>91</v>
      </c>
      <c r="B532" s="22">
        <v>2929181</v>
      </c>
      <c r="C532" s="22">
        <v>244098</v>
      </c>
      <c r="D532" s="38"/>
      <c r="E532" s="38"/>
      <c r="F532" s="23">
        <f t="shared" si="39"/>
        <v>0</v>
      </c>
      <c r="G532" s="23">
        <f t="shared" si="37"/>
        <v>0</v>
      </c>
    </row>
    <row r="533" spans="1:7" ht="36.75" customHeight="1" outlineLevel="2" x14ac:dyDescent="0.25">
      <c r="A533" s="5" t="s">
        <v>54</v>
      </c>
      <c r="B533" s="6">
        <v>2929181</v>
      </c>
      <c r="C533" s="6">
        <v>244098</v>
      </c>
      <c r="D533" s="15"/>
      <c r="E533" s="15"/>
      <c r="F533" s="7">
        <f t="shared" si="39"/>
        <v>0</v>
      </c>
      <c r="G533" s="7">
        <f t="shared" si="37"/>
        <v>0</v>
      </c>
    </row>
    <row r="534" spans="1:7" ht="24" customHeight="1" outlineLevel="3" x14ac:dyDescent="0.25">
      <c r="A534" s="10" t="s">
        <v>37</v>
      </c>
      <c r="B534" s="11">
        <v>2929181</v>
      </c>
      <c r="C534" s="11">
        <v>244098</v>
      </c>
      <c r="D534" s="12"/>
      <c r="E534" s="12"/>
      <c r="F534" s="14">
        <f t="shared" si="39"/>
        <v>0</v>
      </c>
      <c r="G534" s="14">
        <f t="shared" si="37"/>
        <v>0</v>
      </c>
    </row>
    <row r="535" spans="1:7" ht="21" customHeight="1" x14ac:dyDescent="0.25">
      <c r="A535" s="19" t="s">
        <v>55</v>
      </c>
      <c r="B535" s="3">
        <v>394142541</v>
      </c>
      <c r="C535" s="3">
        <v>4592084</v>
      </c>
      <c r="D535" s="40"/>
      <c r="E535" s="40"/>
      <c r="F535" s="4">
        <f t="shared" si="39"/>
        <v>0</v>
      </c>
      <c r="G535" s="4">
        <f t="shared" si="37"/>
        <v>0</v>
      </c>
    </row>
    <row r="536" spans="1:7" s="27" customFormat="1" ht="21" customHeight="1" outlineLevel="3" x14ac:dyDescent="0.2">
      <c r="A536" s="24" t="s">
        <v>27</v>
      </c>
      <c r="B536" s="25">
        <f>B537</f>
        <v>216975268</v>
      </c>
      <c r="C536" s="25">
        <f t="shared" ref="C536:E536" si="40">C537</f>
        <v>0</v>
      </c>
      <c r="D536" s="25">
        <f t="shared" si="40"/>
        <v>0</v>
      </c>
      <c r="E536" s="25">
        <f t="shared" si="40"/>
        <v>0</v>
      </c>
      <c r="F536" s="26">
        <v>0</v>
      </c>
      <c r="G536" s="26">
        <f t="shared" si="37"/>
        <v>0</v>
      </c>
    </row>
    <row r="537" spans="1:7" s="18" customFormat="1" ht="43.5" customHeight="1" outlineLevel="1" x14ac:dyDescent="0.2">
      <c r="A537" s="28" t="s">
        <v>99</v>
      </c>
      <c r="B537" s="22">
        <v>216975268</v>
      </c>
      <c r="C537" s="38"/>
      <c r="D537" s="38"/>
      <c r="E537" s="38"/>
      <c r="F537" s="23">
        <v>0</v>
      </c>
      <c r="G537" s="23">
        <f t="shared" si="37"/>
        <v>0</v>
      </c>
    </row>
    <row r="538" spans="1:7" ht="28.5" customHeight="1" outlineLevel="2" x14ac:dyDescent="0.25">
      <c r="A538" s="5" t="s">
        <v>23</v>
      </c>
      <c r="B538" s="6">
        <v>215975268</v>
      </c>
      <c r="C538" s="15"/>
      <c r="D538" s="15"/>
      <c r="E538" s="15"/>
      <c r="F538" s="7">
        <v>0</v>
      </c>
      <c r="G538" s="7">
        <f t="shared" si="37"/>
        <v>0</v>
      </c>
    </row>
    <row r="539" spans="1:7" ht="16.5" customHeight="1" outlineLevel="3" x14ac:dyDescent="0.25">
      <c r="A539" s="10" t="s">
        <v>58</v>
      </c>
      <c r="B539" s="11">
        <v>70000000</v>
      </c>
      <c r="C539" s="12"/>
      <c r="D539" s="12"/>
      <c r="E539" s="12"/>
      <c r="F539" s="14">
        <v>0</v>
      </c>
      <c r="G539" s="14">
        <f t="shared" si="37"/>
        <v>0</v>
      </c>
    </row>
    <row r="540" spans="1:7" ht="16.5" customHeight="1" outlineLevel="3" x14ac:dyDescent="0.25">
      <c r="A540" s="10" t="s">
        <v>57</v>
      </c>
      <c r="B540" s="11">
        <v>145975268</v>
      </c>
      <c r="C540" s="12"/>
      <c r="D540" s="12"/>
      <c r="E540" s="12"/>
      <c r="F540" s="14">
        <v>0</v>
      </c>
      <c r="G540" s="14">
        <f t="shared" si="37"/>
        <v>0</v>
      </c>
    </row>
    <row r="541" spans="1:7" ht="30.75" customHeight="1" outlineLevel="2" x14ac:dyDescent="0.25">
      <c r="A541" s="5" t="s">
        <v>25</v>
      </c>
      <c r="B541" s="6">
        <v>1000000</v>
      </c>
      <c r="C541" s="15"/>
      <c r="D541" s="15"/>
      <c r="E541" s="15"/>
      <c r="F541" s="7">
        <v>0</v>
      </c>
      <c r="G541" s="7">
        <f t="shared" si="37"/>
        <v>0</v>
      </c>
    </row>
    <row r="542" spans="1:7" ht="16.5" customHeight="1" outlineLevel="3" x14ac:dyDescent="0.25">
      <c r="A542" s="10" t="s">
        <v>57</v>
      </c>
      <c r="B542" s="11">
        <v>1000000</v>
      </c>
      <c r="C542" s="12"/>
      <c r="D542" s="12"/>
      <c r="E542" s="12"/>
      <c r="F542" s="14">
        <v>0</v>
      </c>
      <c r="G542" s="14">
        <f t="shared" si="37"/>
        <v>0</v>
      </c>
    </row>
    <row r="543" spans="1:7" s="27" customFormat="1" ht="17.25" customHeight="1" outlineLevel="3" x14ac:dyDescent="0.2">
      <c r="A543" s="24" t="s">
        <v>43</v>
      </c>
      <c r="B543" s="25">
        <f>B544+B561+B565+B575+B586+B589+B599</f>
        <v>2840182</v>
      </c>
      <c r="C543" s="25">
        <f>C544+C561+C565+C575+C586+C589+C599</f>
        <v>0</v>
      </c>
      <c r="D543" s="25">
        <f>D544+D561+D565+D575+D586+D589+D599</f>
        <v>0</v>
      </c>
      <c r="E543" s="25">
        <f>E544+E561+E565+E575+E586+E589+E599</f>
        <v>0</v>
      </c>
      <c r="F543" s="26">
        <v>0</v>
      </c>
      <c r="G543" s="26">
        <f t="shared" si="37"/>
        <v>0</v>
      </c>
    </row>
    <row r="544" spans="1:7" ht="52.5" customHeight="1" outlineLevel="1" x14ac:dyDescent="0.25">
      <c r="A544" s="41" t="s">
        <v>100</v>
      </c>
      <c r="B544" s="42">
        <v>1000000</v>
      </c>
      <c r="C544" s="43"/>
      <c r="D544" s="43"/>
      <c r="E544" s="43"/>
      <c r="F544" s="44">
        <v>0</v>
      </c>
      <c r="G544" s="44">
        <f t="shared" si="37"/>
        <v>0</v>
      </c>
    </row>
    <row r="545" spans="1:7" ht="29.25" customHeight="1" outlineLevel="2" x14ac:dyDescent="0.25">
      <c r="A545" s="5" t="s">
        <v>24</v>
      </c>
      <c r="B545" s="6">
        <v>1000000</v>
      </c>
      <c r="C545" s="15"/>
      <c r="D545" s="15"/>
      <c r="E545" s="15"/>
      <c r="F545" s="7">
        <v>0</v>
      </c>
      <c r="G545" s="7">
        <f t="shared" si="37"/>
        <v>0</v>
      </c>
    </row>
    <row r="546" spans="1:7" ht="16.5" customHeight="1" outlineLevel="3" x14ac:dyDescent="0.25">
      <c r="A546" s="10" t="s">
        <v>58</v>
      </c>
      <c r="B546" s="11">
        <v>1000000</v>
      </c>
      <c r="C546" s="12"/>
      <c r="D546" s="12"/>
      <c r="E546" s="12"/>
      <c r="F546" s="14">
        <v>0</v>
      </c>
      <c r="G546" s="14">
        <f t="shared" si="37"/>
        <v>0</v>
      </c>
    </row>
    <row r="547" spans="1:7" ht="15" customHeight="1" outlineLevel="3" x14ac:dyDescent="0.25">
      <c r="A547" s="24" t="s">
        <v>48</v>
      </c>
      <c r="B547" s="25">
        <f>B548</f>
        <v>3500000</v>
      </c>
      <c r="C547" s="25">
        <f t="shared" ref="C547:E547" si="41">C548</f>
        <v>0</v>
      </c>
      <c r="D547" s="25">
        <f t="shared" si="41"/>
        <v>0</v>
      </c>
      <c r="E547" s="25">
        <f t="shared" si="41"/>
        <v>0</v>
      </c>
      <c r="F547" s="26">
        <v>0</v>
      </c>
      <c r="G547" s="26">
        <f t="shared" si="37"/>
        <v>0</v>
      </c>
    </row>
    <row r="548" spans="1:7" ht="41.25" customHeight="1" outlineLevel="1" x14ac:dyDescent="0.25">
      <c r="A548" s="41" t="s">
        <v>101</v>
      </c>
      <c r="B548" s="42">
        <v>3500000</v>
      </c>
      <c r="C548" s="43"/>
      <c r="D548" s="43"/>
      <c r="E548" s="43"/>
      <c r="F548" s="44">
        <v>0</v>
      </c>
      <c r="G548" s="44">
        <f t="shared" si="37"/>
        <v>0</v>
      </c>
    </row>
    <row r="549" spans="1:7" ht="28.5" customHeight="1" outlineLevel="2" x14ac:dyDescent="0.25">
      <c r="A549" s="5" t="s">
        <v>25</v>
      </c>
      <c r="B549" s="6">
        <v>3500000</v>
      </c>
      <c r="C549" s="15"/>
      <c r="D549" s="15"/>
      <c r="E549" s="15"/>
      <c r="F549" s="7">
        <v>0</v>
      </c>
      <c r="G549" s="7">
        <f t="shared" si="37"/>
        <v>0</v>
      </c>
    </row>
    <row r="550" spans="1:7" ht="17.25" customHeight="1" outlineLevel="3" x14ac:dyDescent="0.25">
      <c r="A550" s="10" t="s">
        <v>57</v>
      </c>
      <c r="B550" s="11">
        <v>3500000</v>
      </c>
      <c r="C550" s="12"/>
      <c r="D550" s="12"/>
      <c r="E550" s="12"/>
      <c r="F550" s="14">
        <v>0</v>
      </c>
      <c r="G550" s="14">
        <f t="shared" si="37"/>
        <v>0</v>
      </c>
    </row>
    <row r="551" spans="1:7" ht="19.5" customHeight="1" outlineLevel="3" x14ac:dyDescent="0.25">
      <c r="A551" s="24" t="s">
        <v>49</v>
      </c>
      <c r="B551" s="25">
        <f>B552</f>
        <v>41000000</v>
      </c>
      <c r="C551" s="25">
        <f t="shared" ref="C551:E551" si="42">C552</f>
        <v>0</v>
      </c>
      <c r="D551" s="25">
        <f t="shared" si="42"/>
        <v>0</v>
      </c>
      <c r="E551" s="25">
        <f t="shared" si="42"/>
        <v>0</v>
      </c>
      <c r="F551" s="39">
        <v>0</v>
      </c>
      <c r="G551" s="39">
        <f t="shared" si="37"/>
        <v>0</v>
      </c>
    </row>
    <row r="552" spans="1:7" ht="41.25" customHeight="1" outlineLevel="1" x14ac:dyDescent="0.25">
      <c r="A552" s="41" t="s">
        <v>102</v>
      </c>
      <c r="B552" s="42">
        <v>41000000</v>
      </c>
      <c r="C552" s="43"/>
      <c r="D552" s="43"/>
      <c r="E552" s="43"/>
      <c r="F552" s="44">
        <v>0</v>
      </c>
      <c r="G552" s="44">
        <f t="shared" si="37"/>
        <v>0</v>
      </c>
    </row>
    <row r="553" spans="1:7" ht="16.5" customHeight="1" outlineLevel="2" x14ac:dyDescent="0.25">
      <c r="A553" s="5" t="s">
        <v>50</v>
      </c>
      <c r="B553" s="6">
        <v>40000000</v>
      </c>
      <c r="C553" s="15"/>
      <c r="D553" s="15"/>
      <c r="E553" s="15"/>
      <c r="F553" s="7">
        <v>0</v>
      </c>
      <c r="G553" s="7">
        <f t="shared" si="37"/>
        <v>0</v>
      </c>
    </row>
    <row r="554" spans="1:7" ht="16.5" customHeight="1" outlineLevel="3" x14ac:dyDescent="0.25">
      <c r="A554" s="10" t="s">
        <v>57</v>
      </c>
      <c r="B554" s="11">
        <v>40000000</v>
      </c>
      <c r="C554" s="12"/>
      <c r="D554" s="12"/>
      <c r="E554" s="12"/>
      <c r="F554" s="14">
        <v>0</v>
      </c>
      <c r="G554" s="14">
        <f t="shared" si="37"/>
        <v>0</v>
      </c>
    </row>
    <row r="555" spans="1:7" ht="16.5" customHeight="1" outlineLevel="2" x14ac:dyDescent="0.25">
      <c r="A555" s="5" t="s">
        <v>51</v>
      </c>
      <c r="B555" s="6">
        <v>1000000</v>
      </c>
      <c r="C555" s="15"/>
      <c r="D555" s="15"/>
      <c r="E555" s="15"/>
      <c r="F555" s="7">
        <v>0</v>
      </c>
      <c r="G555" s="7">
        <f t="shared" si="37"/>
        <v>0</v>
      </c>
    </row>
    <row r="556" spans="1:7" ht="16.5" customHeight="1" outlineLevel="3" x14ac:dyDescent="0.25">
      <c r="A556" s="10" t="s">
        <v>57</v>
      </c>
      <c r="B556" s="11">
        <v>1000000</v>
      </c>
      <c r="C556" s="12"/>
      <c r="D556" s="12"/>
      <c r="E556" s="12"/>
      <c r="F556" s="14">
        <v>0</v>
      </c>
      <c r="G556" s="14">
        <f t="shared" si="37"/>
        <v>0</v>
      </c>
    </row>
    <row r="557" spans="1:7" ht="16.5" customHeight="1" outlineLevel="3" x14ac:dyDescent="0.25">
      <c r="A557" s="24" t="s">
        <v>53</v>
      </c>
      <c r="B557" s="25">
        <f>B558</f>
        <v>131667273</v>
      </c>
      <c r="C557" s="25">
        <f t="shared" ref="C557:E557" si="43">C558</f>
        <v>4592084</v>
      </c>
      <c r="D557" s="25">
        <f t="shared" si="43"/>
        <v>0</v>
      </c>
      <c r="E557" s="25">
        <f t="shared" si="43"/>
        <v>0</v>
      </c>
      <c r="F557" s="26">
        <f t="shared" ref="F557" si="44">D557/C557</f>
        <v>0</v>
      </c>
      <c r="G557" s="26">
        <f t="shared" si="37"/>
        <v>0</v>
      </c>
    </row>
    <row r="558" spans="1:7" ht="43.5" customHeight="1" outlineLevel="1" x14ac:dyDescent="0.25">
      <c r="A558" s="41" t="s">
        <v>103</v>
      </c>
      <c r="B558" s="42">
        <v>131667273</v>
      </c>
      <c r="C558" s="42">
        <v>4592084</v>
      </c>
      <c r="D558" s="43"/>
      <c r="E558" s="43"/>
      <c r="F558" s="44">
        <f t="shared" si="39"/>
        <v>0</v>
      </c>
      <c r="G558" s="44">
        <f t="shared" si="37"/>
        <v>0</v>
      </c>
    </row>
    <row r="559" spans="1:7" ht="15.75" customHeight="1" outlineLevel="2" x14ac:dyDescent="0.25">
      <c r="A559" s="5" t="s">
        <v>94</v>
      </c>
      <c r="B559" s="6">
        <v>3500000</v>
      </c>
      <c r="C559" s="15"/>
      <c r="D559" s="15"/>
      <c r="E559" s="15"/>
      <c r="F559" s="7">
        <v>0</v>
      </c>
      <c r="G559" s="7">
        <f t="shared" si="37"/>
        <v>0</v>
      </c>
    </row>
    <row r="560" spans="1:7" ht="27" customHeight="1" outlineLevel="3" x14ac:dyDescent="0.25">
      <c r="A560" s="10" t="s">
        <v>59</v>
      </c>
      <c r="B560" s="11">
        <v>3500000</v>
      </c>
      <c r="C560" s="12"/>
      <c r="D560" s="12"/>
      <c r="E560" s="12"/>
      <c r="F560" s="14">
        <v>0</v>
      </c>
      <c r="G560" s="14">
        <f t="shared" si="37"/>
        <v>0</v>
      </c>
    </row>
    <row r="561" spans="1:7" ht="27.75" customHeight="1" outlineLevel="2" x14ac:dyDescent="0.25">
      <c r="A561" s="5" t="s">
        <v>104</v>
      </c>
      <c r="B561" s="6">
        <v>1241802</v>
      </c>
      <c r="C561" s="15"/>
      <c r="D561" s="15"/>
      <c r="E561" s="15"/>
      <c r="F561" s="7">
        <v>0</v>
      </c>
      <c r="G561" s="7">
        <f t="shared" si="37"/>
        <v>0</v>
      </c>
    </row>
    <row r="562" spans="1:7" ht="30.75" customHeight="1" outlineLevel="3" x14ac:dyDescent="0.25">
      <c r="A562" s="10" t="s">
        <v>59</v>
      </c>
      <c r="B562" s="11">
        <v>1241802</v>
      </c>
      <c r="C562" s="12"/>
      <c r="D562" s="12"/>
      <c r="E562" s="12"/>
      <c r="F562" s="14">
        <v>0</v>
      </c>
      <c r="G562" s="14">
        <f t="shared" si="37"/>
        <v>0</v>
      </c>
    </row>
    <row r="563" spans="1:7" ht="30" customHeight="1" outlineLevel="2" x14ac:dyDescent="0.25">
      <c r="A563" s="5" t="s">
        <v>61</v>
      </c>
      <c r="B563" s="6">
        <v>999990</v>
      </c>
      <c r="C563" s="15"/>
      <c r="D563" s="15"/>
      <c r="E563" s="15"/>
      <c r="F563" s="7">
        <v>0</v>
      </c>
      <c r="G563" s="7">
        <f t="shared" si="37"/>
        <v>0</v>
      </c>
    </row>
    <row r="564" spans="1:7" ht="29.25" customHeight="1" outlineLevel="3" x14ac:dyDescent="0.25">
      <c r="A564" s="10" t="s">
        <v>59</v>
      </c>
      <c r="B564" s="11">
        <v>999990</v>
      </c>
      <c r="C564" s="12"/>
      <c r="D564" s="12"/>
      <c r="E564" s="12"/>
      <c r="F564" s="14">
        <v>0</v>
      </c>
      <c r="G564" s="14">
        <f t="shared" si="37"/>
        <v>0</v>
      </c>
    </row>
    <row r="565" spans="1:7" ht="30.75" customHeight="1" outlineLevel="2" x14ac:dyDescent="0.25">
      <c r="A565" s="5" t="s">
        <v>60</v>
      </c>
      <c r="B565" s="6">
        <v>598380</v>
      </c>
      <c r="C565" s="15"/>
      <c r="D565" s="15"/>
      <c r="E565" s="15"/>
      <c r="F565" s="7">
        <v>0</v>
      </c>
      <c r="G565" s="7">
        <f t="shared" si="37"/>
        <v>0</v>
      </c>
    </row>
    <row r="566" spans="1:7" ht="30.75" customHeight="1" outlineLevel="3" x14ac:dyDescent="0.25">
      <c r="A566" s="10" t="s">
        <v>59</v>
      </c>
      <c r="B566" s="11">
        <v>598380</v>
      </c>
      <c r="C566" s="12"/>
      <c r="D566" s="12"/>
      <c r="E566" s="12"/>
      <c r="F566" s="14">
        <v>0</v>
      </c>
      <c r="G566" s="14">
        <f t="shared" si="37"/>
        <v>0</v>
      </c>
    </row>
    <row r="567" spans="1:7" ht="21.75" customHeight="1" outlineLevel="2" x14ac:dyDescent="0.25">
      <c r="A567" s="5" t="s">
        <v>105</v>
      </c>
      <c r="B567" s="6">
        <v>699986</v>
      </c>
      <c r="C567" s="15"/>
      <c r="D567" s="15"/>
      <c r="E567" s="15"/>
      <c r="F567" s="7">
        <v>0</v>
      </c>
      <c r="G567" s="7">
        <f t="shared" si="37"/>
        <v>0</v>
      </c>
    </row>
    <row r="568" spans="1:7" ht="29.25" customHeight="1" outlineLevel="3" x14ac:dyDescent="0.25">
      <c r="A568" s="10" t="s">
        <v>59</v>
      </c>
      <c r="B568" s="11">
        <v>699986</v>
      </c>
      <c r="C568" s="12"/>
      <c r="D568" s="12"/>
      <c r="E568" s="12"/>
      <c r="F568" s="14">
        <v>0</v>
      </c>
      <c r="G568" s="14">
        <f t="shared" si="37"/>
        <v>0</v>
      </c>
    </row>
    <row r="569" spans="1:7" ht="27.75" customHeight="1" outlineLevel="2" x14ac:dyDescent="0.25">
      <c r="A569" s="5" t="s">
        <v>92</v>
      </c>
      <c r="B569" s="6">
        <v>6325347</v>
      </c>
      <c r="C569" s="6">
        <v>165157</v>
      </c>
      <c r="D569" s="15"/>
      <c r="E569" s="15"/>
      <c r="F569" s="7">
        <f t="shared" ref="F569:F572" si="45">D569/C569</f>
        <v>0</v>
      </c>
      <c r="G569" s="7">
        <f t="shared" si="37"/>
        <v>0</v>
      </c>
    </row>
    <row r="570" spans="1:7" ht="28.5" customHeight="1" outlineLevel="3" x14ac:dyDescent="0.25">
      <c r="A570" s="10" t="s">
        <v>59</v>
      </c>
      <c r="B570" s="11">
        <v>6325347</v>
      </c>
      <c r="C570" s="11">
        <v>165157</v>
      </c>
      <c r="D570" s="12"/>
      <c r="E570" s="12"/>
      <c r="F570" s="14">
        <f t="shared" si="45"/>
        <v>0</v>
      </c>
      <c r="G570" s="14">
        <f t="shared" si="37"/>
        <v>0</v>
      </c>
    </row>
    <row r="571" spans="1:7" ht="27.75" customHeight="1" outlineLevel="2" x14ac:dyDescent="0.25">
      <c r="A571" s="5" t="s">
        <v>54</v>
      </c>
      <c r="B571" s="6">
        <v>118301768</v>
      </c>
      <c r="C571" s="6">
        <v>4426927</v>
      </c>
      <c r="D571" s="15"/>
      <c r="E571" s="15"/>
      <c r="F571" s="7">
        <f t="shared" si="45"/>
        <v>0</v>
      </c>
      <c r="G571" s="7">
        <f t="shared" si="37"/>
        <v>0</v>
      </c>
    </row>
    <row r="572" spans="1:7" ht="33.75" customHeight="1" outlineLevel="3" x14ac:dyDescent="0.25">
      <c r="A572" s="10" t="s">
        <v>59</v>
      </c>
      <c r="B572" s="11">
        <v>118301768</v>
      </c>
      <c r="C572" s="11">
        <v>4426927</v>
      </c>
      <c r="D572" s="12"/>
      <c r="E572" s="12"/>
      <c r="F572" s="14">
        <f t="shared" si="45"/>
        <v>0</v>
      </c>
      <c r="G572" s="14">
        <f t="shared" si="37"/>
        <v>0</v>
      </c>
    </row>
  </sheetData>
  <mergeCells count="7">
    <mergeCell ref="A1:G1"/>
    <mergeCell ref="B2:B5"/>
    <mergeCell ref="C2:C5"/>
    <mergeCell ref="D2:D5"/>
    <mergeCell ref="E2:E5"/>
    <mergeCell ref="F2:F5"/>
    <mergeCell ref="G2:G5"/>
  </mergeCells>
  <pageMargins left="0.11811023622047245" right="0.11811023622047245" top="0.15748031496062992" bottom="0.19685039370078741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FCA6D-D2F1-400C-93A1-AE405DC926AC}">
  <dimension ref="A1:I612"/>
  <sheetViews>
    <sheetView view="pageBreakPreview" zoomScale="98" zoomScaleNormal="100" zoomScaleSheetLayoutView="98" workbookViewId="0">
      <selection activeCell="A17" sqref="A17"/>
    </sheetView>
  </sheetViews>
  <sheetFormatPr defaultRowHeight="15" outlineLevelRow="3" x14ac:dyDescent="0.25"/>
  <cols>
    <col min="1" max="1" width="53.28515625" style="1" customWidth="1"/>
    <col min="2" max="2" width="16.140625" style="46" customWidth="1"/>
    <col min="3" max="3" width="16.28515625" style="46" customWidth="1"/>
    <col min="4" max="4" width="15.7109375" style="46" customWidth="1"/>
    <col min="5" max="5" width="15.85546875" style="46" customWidth="1"/>
    <col min="6" max="6" width="13.140625" style="2" customWidth="1"/>
    <col min="7" max="7" width="12.28515625" style="2" customWidth="1"/>
    <col min="8" max="9" width="13.42578125" bestFit="1" customWidth="1"/>
  </cols>
  <sheetData>
    <row r="1" spans="1:9" s="73" customFormat="1" ht="24.75" customHeight="1" x14ac:dyDescent="0.25">
      <c r="A1" s="95" t="s">
        <v>106</v>
      </c>
      <c r="B1" s="95"/>
      <c r="C1" s="95"/>
      <c r="D1" s="95"/>
      <c r="E1" s="95"/>
      <c r="F1" s="95"/>
      <c r="G1" s="95"/>
    </row>
    <row r="2" spans="1:9" ht="16.5" customHeight="1" x14ac:dyDescent="0.25">
      <c r="A2" s="5" t="s">
        <v>0</v>
      </c>
      <c r="B2" s="97" t="s">
        <v>96</v>
      </c>
      <c r="C2" s="97" t="s">
        <v>1</v>
      </c>
      <c r="D2" s="97" t="s">
        <v>97</v>
      </c>
      <c r="E2" s="97" t="s">
        <v>2</v>
      </c>
      <c r="F2" s="96" t="s">
        <v>3</v>
      </c>
      <c r="G2" s="96" t="s">
        <v>4</v>
      </c>
    </row>
    <row r="3" spans="1:9" ht="16.5" customHeight="1" x14ac:dyDescent="0.25">
      <c r="A3" s="5" t="s">
        <v>62</v>
      </c>
      <c r="B3" s="97"/>
      <c r="C3" s="97"/>
      <c r="D3" s="97"/>
      <c r="E3" s="97"/>
      <c r="F3" s="96"/>
      <c r="G3" s="96"/>
    </row>
    <row r="4" spans="1:9" ht="16.5" customHeight="1" x14ac:dyDescent="0.25">
      <c r="A4" s="5" t="s">
        <v>63</v>
      </c>
      <c r="B4" s="97"/>
      <c r="C4" s="97"/>
      <c r="D4" s="97"/>
      <c r="E4" s="97"/>
      <c r="F4" s="96"/>
      <c r="G4" s="96"/>
    </row>
    <row r="5" spans="1:9" ht="15.75" customHeight="1" x14ac:dyDescent="0.25">
      <c r="A5" s="5" t="s">
        <v>5</v>
      </c>
      <c r="B5" s="97"/>
      <c r="C5" s="97"/>
      <c r="D5" s="97"/>
      <c r="E5" s="97"/>
      <c r="F5" s="96"/>
      <c r="G5" s="96"/>
    </row>
    <row r="6" spans="1:9" ht="17.25" customHeight="1" x14ac:dyDescent="0.25">
      <c r="A6" s="19" t="s">
        <v>6</v>
      </c>
      <c r="B6" s="3">
        <f>B7+B91+B415+B472+B504+B554</f>
        <v>4380051405</v>
      </c>
      <c r="C6" s="3">
        <f>C7+C91+C415+C472+C504+C554</f>
        <v>807192734</v>
      </c>
      <c r="D6" s="3">
        <f>D7+D91+D415+D472+D504+D554</f>
        <v>672025201.49999988</v>
      </c>
      <c r="E6" s="3">
        <f>E7+E91+E415+E472+E504+E554</f>
        <v>649616164.31999993</v>
      </c>
      <c r="F6" s="4">
        <f>D6/C6</f>
        <v>0.83254614814211136</v>
      </c>
      <c r="G6" s="4">
        <f>D6/B6</f>
        <v>0.15342861061695687</v>
      </c>
      <c r="H6" s="20"/>
      <c r="I6" s="20"/>
    </row>
    <row r="7" spans="1:9" ht="18" customHeight="1" x14ac:dyDescent="0.25">
      <c r="A7" s="21" t="s">
        <v>7</v>
      </c>
      <c r="B7" s="22">
        <f>B8</f>
        <v>199151160</v>
      </c>
      <c r="C7" s="22">
        <f t="shared" ref="C7:E7" si="0">C8</f>
        <v>33712015</v>
      </c>
      <c r="D7" s="22">
        <f t="shared" si="0"/>
        <v>29830068.050000001</v>
      </c>
      <c r="E7" s="22">
        <f t="shared" si="0"/>
        <v>29830068.050000001</v>
      </c>
      <c r="F7" s="23">
        <f t="shared" ref="F7:F69" si="1">D7/C7</f>
        <v>0.88484975015584211</v>
      </c>
      <c r="G7" s="23">
        <f t="shared" ref="G7:G70" si="2">D7/B7</f>
        <v>0.14978606225542448</v>
      </c>
    </row>
    <row r="8" spans="1:9" s="18" customFormat="1" ht="25.5" customHeight="1" outlineLevel="1" x14ac:dyDescent="0.2">
      <c r="A8" s="5" t="s">
        <v>64</v>
      </c>
      <c r="B8" s="6">
        <f>B9+B18+B29+B39+B49+B58+B67+B71+B81</f>
        <v>199151160</v>
      </c>
      <c r="C8" s="6">
        <f t="shared" ref="C8:E8" si="3">C9+C18+C29+C39+C49+C58+C67+C71+C81</f>
        <v>33712015</v>
      </c>
      <c r="D8" s="6">
        <f t="shared" si="3"/>
        <v>29830068.050000001</v>
      </c>
      <c r="E8" s="6">
        <f t="shared" si="3"/>
        <v>29830068.050000001</v>
      </c>
      <c r="F8" s="7">
        <f t="shared" si="1"/>
        <v>0.88484975015584211</v>
      </c>
      <c r="G8" s="7">
        <f t="shared" si="2"/>
        <v>0.14978606225542448</v>
      </c>
      <c r="H8" s="47"/>
    </row>
    <row r="9" spans="1:9" s="17" customFormat="1" ht="42" customHeight="1" outlineLevel="2" x14ac:dyDescent="0.2">
      <c r="A9" s="8" t="s">
        <v>8</v>
      </c>
      <c r="B9" s="9">
        <v>25855642</v>
      </c>
      <c r="C9" s="9">
        <v>4324889</v>
      </c>
      <c r="D9" s="9">
        <v>3501219.78</v>
      </c>
      <c r="E9" s="9">
        <v>3501219.78</v>
      </c>
      <c r="F9" s="16">
        <f t="shared" si="1"/>
        <v>0.80955136189622434</v>
      </c>
      <c r="G9" s="16">
        <f t="shared" si="2"/>
        <v>0.13541414984010067</v>
      </c>
    </row>
    <row r="10" spans="1:9" ht="15" customHeight="1" outlineLevel="3" x14ac:dyDescent="0.25">
      <c r="A10" s="10" t="s">
        <v>9</v>
      </c>
      <c r="B10" s="11">
        <v>18992832</v>
      </c>
      <c r="C10" s="11">
        <v>3099643</v>
      </c>
      <c r="D10" s="11">
        <v>2813263.13</v>
      </c>
      <c r="E10" s="11">
        <v>2813263.13</v>
      </c>
      <c r="F10" s="14">
        <f t="shared" si="1"/>
        <v>0.90760875687942122</v>
      </c>
      <c r="G10" s="14">
        <f t="shared" si="2"/>
        <v>0.1481223616362215</v>
      </c>
    </row>
    <row r="11" spans="1:9" ht="15" customHeight="1" outlineLevel="3" x14ac:dyDescent="0.25">
      <c r="A11" s="10" t="s">
        <v>10</v>
      </c>
      <c r="B11" s="11">
        <v>4178423</v>
      </c>
      <c r="C11" s="11">
        <v>679078</v>
      </c>
      <c r="D11" s="11">
        <v>588584.72</v>
      </c>
      <c r="E11" s="11">
        <v>588584.72</v>
      </c>
      <c r="F11" s="14">
        <f t="shared" si="1"/>
        <v>0.86674096348283991</v>
      </c>
      <c r="G11" s="14">
        <f t="shared" si="2"/>
        <v>0.14086288535172239</v>
      </c>
    </row>
    <row r="12" spans="1:9" ht="15" customHeight="1" outlineLevel="3" x14ac:dyDescent="0.25">
      <c r="A12" s="10" t="s">
        <v>11</v>
      </c>
      <c r="B12" s="11">
        <v>407670</v>
      </c>
      <c r="C12" s="11">
        <v>66920</v>
      </c>
      <c r="D12" s="11">
        <v>41818.400000000001</v>
      </c>
      <c r="E12" s="11">
        <v>41818.400000000001</v>
      </c>
      <c r="F12" s="14">
        <f t="shared" si="1"/>
        <v>0.62490137477585184</v>
      </c>
      <c r="G12" s="14">
        <f t="shared" si="2"/>
        <v>0.10257904677803126</v>
      </c>
    </row>
    <row r="13" spans="1:9" ht="15" customHeight="1" outlineLevel="3" x14ac:dyDescent="0.25">
      <c r="A13" s="10" t="s">
        <v>12</v>
      </c>
      <c r="B13" s="11">
        <v>1373756</v>
      </c>
      <c r="C13" s="11">
        <v>220000</v>
      </c>
      <c r="D13" s="11">
        <v>24841.13</v>
      </c>
      <c r="E13" s="11">
        <v>24841.13</v>
      </c>
      <c r="F13" s="14">
        <f t="shared" si="1"/>
        <v>0.11291422727272728</v>
      </c>
      <c r="G13" s="14">
        <f t="shared" si="2"/>
        <v>1.80826362177854E-2</v>
      </c>
    </row>
    <row r="14" spans="1:9" ht="15" customHeight="1" outlineLevel="3" x14ac:dyDescent="0.25">
      <c r="A14" s="10" t="s">
        <v>13</v>
      </c>
      <c r="B14" s="11">
        <v>394493</v>
      </c>
      <c r="C14" s="11">
        <v>160498</v>
      </c>
      <c r="D14" s="11"/>
      <c r="E14" s="11"/>
      <c r="F14" s="14">
        <f t="shared" si="1"/>
        <v>0</v>
      </c>
      <c r="G14" s="14">
        <f t="shared" si="2"/>
        <v>0</v>
      </c>
    </row>
    <row r="15" spans="1:9" ht="15" customHeight="1" outlineLevel="3" x14ac:dyDescent="0.25">
      <c r="A15" s="10" t="s">
        <v>14</v>
      </c>
      <c r="B15" s="11">
        <v>31644</v>
      </c>
      <c r="C15" s="11">
        <v>5650</v>
      </c>
      <c r="D15" s="11">
        <v>1170.03</v>
      </c>
      <c r="E15" s="11">
        <v>1170.03</v>
      </c>
      <c r="F15" s="14">
        <f t="shared" si="1"/>
        <v>0.20708495575221239</v>
      </c>
      <c r="G15" s="14">
        <f t="shared" si="2"/>
        <v>3.697478194918468E-2</v>
      </c>
    </row>
    <row r="16" spans="1:9" ht="15" customHeight="1" outlineLevel="3" x14ac:dyDescent="0.25">
      <c r="A16" s="10" t="s">
        <v>15</v>
      </c>
      <c r="B16" s="11">
        <v>470824</v>
      </c>
      <c r="C16" s="11">
        <v>91100</v>
      </c>
      <c r="D16" s="11">
        <v>31542.37</v>
      </c>
      <c r="E16" s="11">
        <v>31542.37</v>
      </c>
      <c r="F16" s="14">
        <f t="shared" si="1"/>
        <v>0.34623896816684963</v>
      </c>
      <c r="G16" s="14">
        <f t="shared" si="2"/>
        <v>6.6993972269892788E-2</v>
      </c>
    </row>
    <row r="17" spans="1:7" ht="27" customHeight="1" outlineLevel="3" x14ac:dyDescent="0.25">
      <c r="A17" s="10" t="s">
        <v>16</v>
      </c>
      <c r="B17" s="11">
        <v>6000</v>
      </c>
      <c r="C17" s="11">
        <v>2000</v>
      </c>
      <c r="D17" s="11"/>
      <c r="E17" s="11"/>
      <c r="F17" s="14">
        <v>0</v>
      </c>
      <c r="G17" s="14">
        <f t="shared" si="2"/>
        <v>0</v>
      </c>
    </row>
    <row r="18" spans="1:7" s="17" customFormat="1" ht="17.25" customHeight="1" outlineLevel="2" x14ac:dyDescent="0.2">
      <c r="A18" s="8" t="s">
        <v>17</v>
      </c>
      <c r="B18" s="9">
        <v>71590477</v>
      </c>
      <c r="C18" s="9">
        <v>12067000</v>
      </c>
      <c r="D18" s="9">
        <v>10317212.16</v>
      </c>
      <c r="E18" s="9">
        <v>10317212.16</v>
      </c>
      <c r="F18" s="16">
        <f t="shared" si="1"/>
        <v>0.85499396370266012</v>
      </c>
      <c r="G18" s="16">
        <f t="shared" si="2"/>
        <v>0.14411430950515947</v>
      </c>
    </row>
    <row r="19" spans="1:7" ht="13.5" customHeight="1" outlineLevel="3" x14ac:dyDescent="0.25">
      <c r="A19" s="10" t="s">
        <v>9</v>
      </c>
      <c r="B19" s="11">
        <v>52452781</v>
      </c>
      <c r="C19" s="11">
        <v>8742130</v>
      </c>
      <c r="D19" s="11">
        <v>8299325.7999999998</v>
      </c>
      <c r="E19" s="11">
        <v>8299325.7999999998</v>
      </c>
      <c r="F19" s="14">
        <f t="shared" si="1"/>
        <v>0.94934824808141716</v>
      </c>
      <c r="G19" s="14">
        <f t="shared" si="2"/>
        <v>0.15822470499705249</v>
      </c>
    </row>
    <row r="20" spans="1:7" ht="13.5" customHeight="1" outlineLevel="3" x14ac:dyDescent="0.25">
      <c r="A20" s="10" t="s">
        <v>10</v>
      </c>
      <c r="B20" s="11">
        <v>11539612</v>
      </c>
      <c r="C20" s="11">
        <v>1923270</v>
      </c>
      <c r="D20" s="11">
        <v>1799442.7</v>
      </c>
      <c r="E20" s="11">
        <v>1799442.7</v>
      </c>
      <c r="F20" s="14">
        <f t="shared" si="1"/>
        <v>0.93561626812668008</v>
      </c>
      <c r="G20" s="14">
        <f t="shared" si="2"/>
        <v>0.15593615279265888</v>
      </c>
    </row>
    <row r="21" spans="1:7" ht="13.5" customHeight="1" outlineLevel="3" x14ac:dyDescent="0.25">
      <c r="A21" s="10" t="s">
        <v>11</v>
      </c>
      <c r="B21" s="11">
        <v>1474400</v>
      </c>
      <c r="C21" s="11">
        <v>240000</v>
      </c>
      <c r="D21" s="11">
        <v>2001</v>
      </c>
      <c r="E21" s="11">
        <v>2001</v>
      </c>
      <c r="F21" s="14">
        <f t="shared" si="1"/>
        <v>8.3374999999999994E-3</v>
      </c>
      <c r="G21" s="14">
        <f t="shared" si="2"/>
        <v>1.3571622354856213E-3</v>
      </c>
    </row>
    <row r="22" spans="1:7" ht="13.5" customHeight="1" outlineLevel="3" x14ac:dyDescent="0.25">
      <c r="A22" s="10" t="s">
        <v>12</v>
      </c>
      <c r="B22" s="11">
        <v>2233970</v>
      </c>
      <c r="C22" s="11">
        <v>280000</v>
      </c>
      <c r="D22" s="11">
        <v>149983.31</v>
      </c>
      <c r="E22" s="11">
        <v>149983.31</v>
      </c>
      <c r="F22" s="14">
        <f t="shared" si="1"/>
        <v>0.53565467857142857</v>
      </c>
      <c r="G22" s="14">
        <f t="shared" si="2"/>
        <v>6.7137566753358371E-2</v>
      </c>
    </row>
    <row r="23" spans="1:7" ht="13.5" customHeight="1" outlineLevel="3" x14ac:dyDescent="0.25">
      <c r="A23" s="10" t="s">
        <v>13</v>
      </c>
      <c r="B23" s="11">
        <v>1411047</v>
      </c>
      <c r="C23" s="11">
        <v>550600</v>
      </c>
      <c r="D23" s="11"/>
      <c r="E23" s="11"/>
      <c r="F23" s="14">
        <f t="shared" si="1"/>
        <v>0</v>
      </c>
      <c r="G23" s="14">
        <f t="shared" si="2"/>
        <v>0</v>
      </c>
    </row>
    <row r="24" spans="1:7" ht="13.5" customHeight="1" outlineLevel="3" x14ac:dyDescent="0.25">
      <c r="A24" s="10" t="s">
        <v>14</v>
      </c>
      <c r="B24" s="11">
        <v>202000</v>
      </c>
      <c r="C24" s="11">
        <v>30000</v>
      </c>
      <c r="D24" s="11">
        <v>14651.01</v>
      </c>
      <c r="E24" s="11">
        <v>14651.01</v>
      </c>
      <c r="F24" s="14">
        <f t="shared" si="1"/>
        <v>0.488367</v>
      </c>
      <c r="G24" s="14">
        <f t="shared" si="2"/>
        <v>7.2529752475247525E-2</v>
      </c>
    </row>
    <row r="25" spans="1:7" ht="13.5" customHeight="1" outlineLevel="3" x14ac:dyDescent="0.25">
      <c r="A25" s="10" t="s">
        <v>15</v>
      </c>
      <c r="B25" s="11">
        <v>1688667</v>
      </c>
      <c r="C25" s="11">
        <v>292000</v>
      </c>
      <c r="D25" s="11">
        <v>48101.31</v>
      </c>
      <c r="E25" s="11">
        <v>48101.31</v>
      </c>
      <c r="F25" s="14">
        <f t="shared" si="1"/>
        <v>0.16473051369863012</v>
      </c>
      <c r="G25" s="14">
        <f t="shared" si="2"/>
        <v>2.8484781191318358E-2</v>
      </c>
    </row>
    <row r="26" spans="1:7" ht="25.5" customHeight="1" outlineLevel="3" x14ac:dyDescent="0.25">
      <c r="A26" s="10" t="s">
        <v>16</v>
      </c>
      <c r="B26" s="11">
        <v>8000</v>
      </c>
      <c r="C26" s="11">
        <v>4000</v>
      </c>
      <c r="D26" s="11"/>
      <c r="E26" s="11"/>
      <c r="F26" s="14">
        <v>0</v>
      </c>
      <c r="G26" s="14">
        <f t="shared" si="2"/>
        <v>0</v>
      </c>
    </row>
    <row r="27" spans="1:7" ht="12.75" customHeight="1" outlineLevel="3" x14ac:dyDescent="0.25">
      <c r="A27" s="10" t="s">
        <v>18</v>
      </c>
      <c r="B27" s="11">
        <v>30000</v>
      </c>
      <c r="C27" s="11">
        <v>5000</v>
      </c>
      <c r="D27" s="11">
        <v>3707.03</v>
      </c>
      <c r="E27" s="11">
        <v>3707.03</v>
      </c>
      <c r="F27" s="14">
        <f t="shared" si="1"/>
        <v>0.74140600000000001</v>
      </c>
      <c r="G27" s="14">
        <f t="shared" si="2"/>
        <v>0.12356766666666667</v>
      </c>
    </row>
    <row r="28" spans="1:7" ht="15" customHeight="1" outlineLevel="3" x14ac:dyDescent="0.25">
      <c r="A28" s="10" t="s">
        <v>56</v>
      </c>
      <c r="B28" s="11">
        <v>550000</v>
      </c>
      <c r="C28" s="11"/>
      <c r="D28" s="11"/>
      <c r="E28" s="11"/>
      <c r="F28" s="14">
        <v>0</v>
      </c>
      <c r="G28" s="14">
        <f t="shared" si="2"/>
        <v>0</v>
      </c>
    </row>
    <row r="29" spans="1:7" s="17" customFormat="1" ht="27" customHeight="1" outlineLevel="2" x14ac:dyDescent="0.2">
      <c r="A29" s="8" t="s">
        <v>19</v>
      </c>
      <c r="B29" s="9">
        <v>8562015</v>
      </c>
      <c r="C29" s="9">
        <v>1408093</v>
      </c>
      <c r="D29" s="9">
        <v>1352395.83</v>
      </c>
      <c r="E29" s="9">
        <v>1352395.83</v>
      </c>
      <c r="F29" s="16">
        <f t="shared" si="1"/>
        <v>0.96044496350738207</v>
      </c>
      <c r="G29" s="16">
        <f t="shared" si="2"/>
        <v>0.15795298536617841</v>
      </c>
    </row>
    <row r="30" spans="1:7" ht="14.25" customHeight="1" outlineLevel="3" x14ac:dyDescent="0.25">
      <c r="A30" s="10" t="s">
        <v>9</v>
      </c>
      <c r="B30" s="11">
        <v>6619134</v>
      </c>
      <c r="C30" s="11">
        <v>1103188</v>
      </c>
      <c r="D30" s="11">
        <v>1099708.27</v>
      </c>
      <c r="E30" s="11">
        <v>1099708.27</v>
      </c>
      <c r="F30" s="14">
        <f t="shared" si="1"/>
        <v>0.99684575067894143</v>
      </c>
      <c r="G30" s="14">
        <f t="shared" si="2"/>
        <v>0.16614080784586019</v>
      </c>
    </row>
    <row r="31" spans="1:7" ht="14.25" customHeight="1" outlineLevel="3" x14ac:dyDescent="0.25">
      <c r="A31" s="10" t="s">
        <v>10</v>
      </c>
      <c r="B31" s="11">
        <v>1456209</v>
      </c>
      <c r="C31" s="11">
        <v>246032</v>
      </c>
      <c r="D31" s="11">
        <v>245266.39</v>
      </c>
      <c r="E31" s="11">
        <v>245266.39</v>
      </c>
      <c r="F31" s="14">
        <f t="shared" si="1"/>
        <v>0.99688816901866428</v>
      </c>
      <c r="G31" s="14">
        <f t="shared" si="2"/>
        <v>0.16842801411061187</v>
      </c>
    </row>
    <row r="32" spans="1:7" ht="14.25" customHeight="1" outlineLevel="3" x14ac:dyDescent="0.25">
      <c r="A32" s="10" t="s">
        <v>11</v>
      </c>
      <c r="B32" s="11">
        <v>102600</v>
      </c>
      <c r="C32" s="11">
        <v>1700</v>
      </c>
      <c r="D32" s="11"/>
      <c r="E32" s="11"/>
      <c r="F32" s="14">
        <v>0</v>
      </c>
      <c r="G32" s="14">
        <f t="shared" si="2"/>
        <v>0</v>
      </c>
    </row>
    <row r="33" spans="1:7" ht="14.25" customHeight="1" outlineLevel="3" x14ac:dyDescent="0.25">
      <c r="A33" s="10" t="s">
        <v>12</v>
      </c>
      <c r="B33" s="11">
        <v>124800</v>
      </c>
      <c r="C33" s="11">
        <v>20300</v>
      </c>
      <c r="D33" s="11">
        <v>2307.13</v>
      </c>
      <c r="E33" s="11">
        <v>2307.13</v>
      </c>
      <c r="F33" s="14">
        <f t="shared" si="1"/>
        <v>0.11365172413793104</v>
      </c>
      <c r="G33" s="14">
        <f t="shared" si="2"/>
        <v>1.8486618589743591E-2</v>
      </c>
    </row>
    <row r="34" spans="1:7" ht="14.25" customHeight="1" outlineLevel="3" x14ac:dyDescent="0.25">
      <c r="A34" s="10" t="s">
        <v>13</v>
      </c>
      <c r="B34" s="11">
        <v>53637</v>
      </c>
      <c r="C34" s="11">
        <v>20114</v>
      </c>
      <c r="D34" s="11"/>
      <c r="E34" s="11"/>
      <c r="F34" s="14">
        <f t="shared" si="1"/>
        <v>0</v>
      </c>
      <c r="G34" s="14">
        <f t="shared" si="2"/>
        <v>0</v>
      </c>
    </row>
    <row r="35" spans="1:7" ht="14.25" customHeight="1" outlineLevel="3" x14ac:dyDescent="0.25">
      <c r="A35" s="10" t="s">
        <v>14</v>
      </c>
      <c r="B35" s="11">
        <v>22673</v>
      </c>
      <c r="C35" s="11">
        <v>3779</v>
      </c>
      <c r="D35" s="11">
        <v>769.82</v>
      </c>
      <c r="E35" s="11">
        <v>769.82</v>
      </c>
      <c r="F35" s="14">
        <f t="shared" si="1"/>
        <v>0.20370997618417572</v>
      </c>
      <c r="G35" s="14">
        <f t="shared" si="2"/>
        <v>3.3953160146429677E-2</v>
      </c>
    </row>
    <row r="36" spans="1:7" ht="14.25" customHeight="1" outlineLevel="3" x14ac:dyDescent="0.25">
      <c r="A36" s="10" t="s">
        <v>15</v>
      </c>
      <c r="B36" s="11">
        <v>81862</v>
      </c>
      <c r="C36" s="11">
        <v>12980</v>
      </c>
      <c r="D36" s="11">
        <v>4344.22</v>
      </c>
      <c r="E36" s="11">
        <v>4344.22</v>
      </c>
      <c r="F36" s="14">
        <f t="shared" si="1"/>
        <v>0.33468567026194146</v>
      </c>
      <c r="G36" s="14">
        <f t="shared" si="2"/>
        <v>5.3067601573379593E-2</v>
      </c>
    </row>
    <row r="37" spans="1:7" ht="24" customHeight="1" outlineLevel="3" x14ac:dyDescent="0.25">
      <c r="A37" s="10" t="s">
        <v>16</v>
      </c>
      <c r="B37" s="11">
        <v>1300</v>
      </c>
      <c r="C37" s="11"/>
      <c r="D37" s="11"/>
      <c r="E37" s="11"/>
      <c r="F37" s="14">
        <v>0</v>
      </c>
      <c r="G37" s="14">
        <f t="shared" si="2"/>
        <v>0</v>
      </c>
    </row>
    <row r="38" spans="1:7" ht="13.5" customHeight="1" outlineLevel="3" x14ac:dyDescent="0.25">
      <c r="A38" s="10" t="s">
        <v>56</v>
      </c>
      <c r="B38" s="11">
        <v>99800</v>
      </c>
      <c r="C38" s="11"/>
      <c r="D38" s="11"/>
      <c r="E38" s="11"/>
      <c r="F38" s="14">
        <v>0</v>
      </c>
      <c r="G38" s="14">
        <f t="shared" si="2"/>
        <v>0</v>
      </c>
    </row>
    <row r="39" spans="1:7" s="17" customFormat="1" ht="30" customHeight="1" outlineLevel="2" x14ac:dyDescent="0.2">
      <c r="A39" s="8" t="s">
        <v>20</v>
      </c>
      <c r="B39" s="9">
        <v>44685654</v>
      </c>
      <c r="C39" s="9">
        <v>7439424</v>
      </c>
      <c r="D39" s="9">
        <v>7043675.1299999999</v>
      </c>
      <c r="E39" s="9">
        <v>7043675.1299999999</v>
      </c>
      <c r="F39" s="16">
        <f t="shared" si="1"/>
        <v>0.94680382916741945</v>
      </c>
      <c r="G39" s="16">
        <f t="shared" si="2"/>
        <v>0.1576272136466885</v>
      </c>
    </row>
    <row r="40" spans="1:7" ht="13.5" customHeight="1" outlineLevel="3" x14ac:dyDescent="0.25">
      <c r="A40" s="10" t="s">
        <v>9</v>
      </c>
      <c r="B40" s="11">
        <v>34610936</v>
      </c>
      <c r="C40" s="11">
        <v>5702661</v>
      </c>
      <c r="D40" s="11">
        <v>5590723.5899999999</v>
      </c>
      <c r="E40" s="11">
        <v>5590723.5899999999</v>
      </c>
      <c r="F40" s="14">
        <f t="shared" si="1"/>
        <v>0.98037102152837063</v>
      </c>
      <c r="G40" s="14">
        <f t="shared" si="2"/>
        <v>0.16153055178860232</v>
      </c>
    </row>
    <row r="41" spans="1:7" ht="13.5" customHeight="1" outlineLevel="3" x14ac:dyDescent="0.25">
      <c r="A41" s="10" t="s">
        <v>10</v>
      </c>
      <c r="B41" s="11">
        <v>7614406</v>
      </c>
      <c r="C41" s="11">
        <v>1251739</v>
      </c>
      <c r="D41" s="11">
        <v>1158831.1499999999</v>
      </c>
      <c r="E41" s="11">
        <v>1158831.1499999999</v>
      </c>
      <c r="F41" s="14">
        <f t="shared" si="1"/>
        <v>0.92577697906672229</v>
      </c>
      <c r="G41" s="14">
        <f t="shared" si="2"/>
        <v>0.15218930406390202</v>
      </c>
    </row>
    <row r="42" spans="1:7" ht="13.5" customHeight="1" outlineLevel="3" x14ac:dyDescent="0.25">
      <c r="A42" s="10" t="s">
        <v>11</v>
      </c>
      <c r="B42" s="11">
        <v>750000</v>
      </c>
      <c r="C42" s="11">
        <v>150000</v>
      </c>
      <c r="D42" s="11">
        <v>149974.75</v>
      </c>
      <c r="E42" s="11">
        <v>149974.75</v>
      </c>
      <c r="F42" s="14">
        <f t="shared" si="1"/>
        <v>0.99983166666666667</v>
      </c>
      <c r="G42" s="14">
        <f t="shared" si="2"/>
        <v>0.19996633333333333</v>
      </c>
    </row>
    <row r="43" spans="1:7" ht="13.5" customHeight="1" outlineLevel="3" x14ac:dyDescent="0.25">
      <c r="A43" s="10" t="s">
        <v>12</v>
      </c>
      <c r="B43" s="11">
        <v>472000</v>
      </c>
      <c r="C43" s="11">
        <v>100000</v>
      </c>
      <c r="D43" s="11">
        <v>25978.68</v>
      </c>
      <c r="E43" s="11">
        <v>25978.68</v>
      </c>
      <c r="F43" s="14">
        <f t="shared" si="1"/>
        <v>0.25978679999999998</v>
      </c>
      <c r="G43" s="14">
        <f t="shared" si="2"/>
        <v>5.5039576271186441E-2</v>
      </c>
    </row>
    <row r="44" spans="1:7" ht="13.5" customHeight="1" outlineLevel="3" x14ac:dyDescent="0.25">
      <c r="A44" s="10" t="s">
        <v>21</v>
      </c>
      <c r="B44" s="11">
        <v>18000</v>
      </c>
      <c r="C44" s="11">
        <v>3000</v>
      </c>
      <c r="D44" s="11">
        <v>896</v>
      </c>
      <c r="E44" s="11">
        <v>896</v>
      </c>
      <c r="F44" s="14">
        <f t="shared" si="1"/>
        <v>0.29866666666666669</v>
      </c>
      <c r="G44" s="14">
        <f t="shared" si="2"/>
        <v>4.9777777777777775E-2</v>
      </c>
    </row>
    <row r="45" spans="1:7" ht="13.5" customHeight="1" outlineLevel="3" x14ac:dyDescent="0.25">
      <c r="A45" s="10" t="s">
        <v>13</v>
      </c>
      <c r="B45" s="11">
        <v>754444</v>
      </c>
      <c r="C45" s="11">
        <v>165413</v>
      </c>
      <c r="D45" s="11">
        <v>102695.37</v>
      </c>
      <c r="E45" s="11">
        <v>102695.37</v>
      </c>
      <c r="F45" s="14">
        <f t="shared" si="1"/>
        <v>0.62084219499072013</v>
      </c>
      <c r="G45" s="14">
        <f t="shared" si="2"/>
        <v>0.13612060007104568</v>
      </c>
    </row>
    <row r="46" spans="1:7" ht="13.5" customHeight="1" outlineLevel="3" x14ac:dyDescent="0.25">
      <c r="A46" s="10" t="s">
        <v>14</v>
      </c>
      <c r="B46" s="11">
        <v>26368</v>
      </c>
      <c r="C46" s="11">
        <v>5241</v>
      </c>
      <c r="D46" s="11">
        <v>3527.72</v>
      </c>
      <c r="E46" s="11">
        <v>3527.72</v>
      </c>
      <c r="F46" s="14">
        <f t="shared" si="1"/>
        <v>0.67310055332951724</v>
      </c>
      <c r="G46" s="14">
        <f t="shared" si="2"/>
        <v>0.13378792475728155</v>
      </c>
    </row>
    <row r="47" spans="1:7" ht="13.5" customHeight="1" outlineLevel="3" x14ac:dyDescent="0.25">
      <c r="A47" s="10" t="s">
        <v>15</v>
      </c>
      <c r="B47" s="11">
        <v>379500</v>
      </c>
      <c r="C47" s="11">
        <v>51370</v>
      </c>
      <c r="D47" s="11">
        <v>11047.87</v>
      </c>
      <c r="E47" s="11">
        <v>11047.87</v>
      </c>
      <c r="F47" s="14">
        <f t="shared" si="1"/>
        <v>0.21506462916098892</v>
      </c>
      <c r="G47" s="14">
        <f t="shared" si="2"/>
        <v>2.9111646903820818E-2</v>
      </c>
    </row>
    <row r="48" spans="1:7" ht="13.5" customHeight="1" outlineLevel="3" x14ac:dyDescent="0.25">
      <c r="A48" s="10" t="s">
        <v>18</v>
      </c>
      <c r="B48" s="11">
        <v>60000</v>
      </c>
      <c r="C48" s="11">
        <v>10000</v>
      </c>
      <c r="D48" s="11"/>
      <c r="E48" s="11"/>
      <c r="F48" s="14">
        <f t="shared" si="1"/>
        <v>0</v>
      </c>
      <c r="G48" s="14">
        <f t="shared" si="2"/>
        <v>0</v>
      </c>
    </row>
    <row r="49" spans="1:7" s="17" customFormat="1" ht="27.75" customHeight="1" outlineLevel="2" x14ac:dyDescent="0.2">
      <c r="A49" s="8" t="s">
        <v>92</v>
      </c>
      <c r="B49" s="9">
        <v>9979327</v>
      </c>
      <c r="C49" s="9">
        <v>1769894</v>
      </c>
      <c r="D49" s="9">
        <v>1696628.67</v>
      </c>
      <c r="E49" s="9">
        <v>1696628.67</v>
      </c>
      <c r="F49" s="16">
        <f t="shared" si="1"/>
        <v>0.95860467915027681</v>
      </c>
      <c r="G49" s="16">
        <f t="shared" si="2"/>
        <v>0.17001433764020357</v>
      </c>
    </row>
    <row r="50" spans="1:7" ht="13.5" customHeight="1" outlineLevel="3" x14ac:dyDescent="0.25">
      <c r="A50" s="10" t="s">
        <v>9</v>
      </c>
      <c r="B50" s="11">
        <v>7486805</v>
      </c>
      <c r="C50" s="11">
        <v>1321460</v>
      </c>
      <c r="D50" s="11">
        <v>1321459.18</v>
      </c>
      <c r="E50" s="11">
        <v>1321459.18</v>
      </c>
      <c r="F50" s="14">
        <f t="shared" si="1"/>
        <v>0.99999937947421791</v>
      </c>
      <c r="G50" s="14">
        <f t="shared" si="2"/>
        <v>0.1765050886192441</v>
      </c>
    </row>
    <row r="51" spans="1:7" ht="13.5" customHeight="1" outlineLevel="3" x14ac:dyDescent="0.25">
      <c r="A51" s="10" t="s">
        <v>10</v>
      </c>
      <c r="B51" s="11">
        <v>1647097</v>
      </c>
      <c r="C51" s="11">
        <v>293099</v>
      </c>
      <c r="D51" s="11">
        <v>293098.48</v>
      </c>
      <c r="E51" s="11">
        <v>293098.48</v>
      </c>
      <c r="F51" s="14">
        <f t="shared" si="1"/>
        <v>0.99999822585542764</v>
      </c>
      <c r="G51" s="14">
        <f t="shared" si="2"/>
        <v>0.17794852397885491</v>
      </c>
    </row>
    <row r="52" spans="1:7" ht="13.5" customHeight="1" outlineLevel="3" x14ac:dyDescent="0.25">
      <c r="A52" s="10" t="s">
        <v>11</v>
      </c>
      <c r="B52" s="11">
        <v>168900</v>
      </c>
      <c r="C52" s="11">
        <v>57900</v>
      </c>
      <c r="D52" s="11">
        <v>57825</v>
      </c>
      <c r="E52" s="11">
        <v>57825</v>
      </c>
      <c r="F52" s="14">
        <f t="shared" si="1"/>
        <v>0.99870466321243523</v>
      </c>
      <c r="G52" s="14">
        <f t="shared" si="2"/>
        <v>0.34236234458259324</v>
      </c>
    </row>
    <row r="53" spans="1:7" ht="13.5" customHeight="1" outlineLevel="3" x14ac:dyDescent="0.25">
      <c r="A53" s="10" t="s">
        <v>12</v>
      </c>
      <c r="B53" s="11">
        <v>356300</v>
      </c>
      <c r="C53" s="11">
        <v>46540</v>
      </c>
      <c r="D53" s="11">
        <v>11948.29</v>
      </c>
      <c r="E53" s="11">
        <v>11948.29</v>
      </c>
      <c r="F53" s="14">
        <f t="shared" si="1"/>
        <v>0.25673162870648908</v>
      </c>
      <c r="G53" s="14">
        <f t="shared" si="2"/>
        <v>3.3534353073252879E-2</v>
      </c>
    </row>
    <row r="54" spans="1:7" ht="13.5" customHeight="1" outlineLevel="3" x14ac:dyDescent="0.25">
      <c r="A54" s="10" t="s">
        <v>13</v>
      </c>
      <c r="B54" s="11">
        <v>67260</v>
      </c>
      <c r="C54" s="11">
        <v>25235</v>
      </c>
      <c r="D54" s="11"/>
      <c r="E54" s="11"/>
      <c r="F54" s="14">
        <f t="shared" si="1"/>
        <v>0</v>
      </c>
      <c r="G54" s="14">
        <f t="shared" si="2"/>
        <v>0</v>
      </c>
    </row>
    <row r="55" spans="1:7" ht="13.5" customHeight="1" outlineLevel="3" x14ac:dyDescent="0.25">
      <c r="A55" s="10" t="s">
        <v>14</v>
      </c>
      <c r="B55" s="11">
        <v>18005</v>
      </c>
      <c r="C55" s="11">
        <v>3000</v>
      </c>
      <c r="D55" s="11">
        <v>947.48</v>
      </c>
      <c r="E55" s="11">
        <v>947.48</v>
      </c>
      <c r="F55" s="14">
        <f t="shared" si="1"/>
        <v>0.3158266666666667</v>
      </c>
      <c r="G55" s="14">
        <f t="shared" si="2"/>
        <v>5.2623160233268539E-2</v>
      </c>
    </row>
    <row r="56" spans="1:7" ht="13.5" customHeight="1" outlineLevel="3" x14ac:dyDescent="0.25">
      <c r="A56" s="10" t="s">
        <v>15</v>
      </c>
      <c r="B56" s="11">
        <v>135960</v>
      </c>
      <c r="C56" s="11">
        <v>22660</v>
      </c>
      <c r="D56" s="11">
        <v>11350.24</v>
      </c>
      <c r="E56" s="11">
        <v>11350.24</v>
      </c>
      <c r="F56" s="14">
        <f t="shared" si="1"/>
        <v>0.50089320388349512</v>
      </c>
      <c r="G56" s="14">
        <f t="shared" si="2"/>
        <v>8.3482200647249191E-2</v>
      </c>
    </row>
    <row r="57" spans="1:7" ht="13.5" customHeight="1" outlineLevel="3" x14ac:dyDescent="0.25">
      <c r="A57" s="10" t="s">
        <v>56</v>
      </c>
      <c r="B57" s="11">
        <v>99000</v>
      </c>
      <c r="C57" s="11"/>
      <c r="D57" s="11"/>
      <c r="E57" s="11"/>
      <c r="F57" s="14">
        <v>0</v>
      </c>
      <c r="G57" s="14">
        <f t="shared" si="2"/>
        <v>0</v>
      </c>
    </row>
    <row r="58" spans="1:7" s="17" customFormat="1" ht="26.25" customHeight="1" outlineLevel="2" x14ac:dyDescent="0.2">
      <c r="A58" s="8" t="s">
        <v>22</v>
      </c>
      <c r="B58" s="9">
        <v>3642616</v>
      </c>
      <c r="C58" s="9">
        <f>SUM(C59:C66)</f>
        <v>740638</v>
      </c>
      <c r="D58" s="9">
        <f t="shared" ref="D58:E58" si="4">SUM(D59:D66)</f>
        <v>590871.14</v>
      </c>
      <c r="E58" s="9">
        <f t="shared" si="4"/>
        <v>590871.14</v>
      </c>
      <c r="F58" s="16">
        <f t="shared" si="1"/>
        <v>0.7977866920141824</v>
      </c>
      <c r="G58" s="16">
        <f t="shared" si="2"/>
        <v>0.1622106584937858</v>
      </c>
    </row>
    <row r="59" spans="1:7" ht="13.5" customHeight="1" outlineLevel="3" x14ac:dyDescent="0.25">
      <c r="A59" s="10" t="s">
        <v>9</v>
      </c>
      <c r="B59" s="11">
        <v>2601337</v>
      </c>
      <c r="C59" s="11">
        <v>484556</v>
      </c>
      <c r="D59" s="11">
        <v>483921.36</v>
      </c>
      <c r="E59" s="11">
        <v>483921.36</v>
      </c>
      <c r="F59" s="14">
        <f t="shared" si="1"/>
        <v>0.99869026490230228</v>
      </c>
      <c r="G59" s="14">
        <f t="shared" si="2"/>
        <v>0.18602793870997875</v>
      </c>
    </row>
    <row r="60" spans="1:7" ht="13.5" customHeight="1" outlineLevel="3" x14ac:dyDescent="0.25">
      <c r="A60" s="10" t="s">
        <v>10</v>
      </c>
      <c r="B60" s="11">
        <v>572294</v>
      </c>
      <c r="C60" s="11">
        <v>106582</v>
      </c>
      <c r="D60" s="11">
        <v>106462.68</v>
      </c>
      <c r="E60" s="11">
        <v>106462.68</v>
      </c>
      <c r="F60" s="14">
        <f t="shared" si="1"/>
        <v>0.99888048638606886</v>
      </c>
      <c r="G60" s="14">
        <f t="shared" si="2"/>
        <v>0.18602795066871222</v>
      </c>
    </row>
    <row r="61" spans="1:7" ht="13.5" customHeight="1" outlineLevel="3" x14ac:dyDescent="0.25">
      <c r="A61" s="10" t="s">
        <v>11</v>
      </c>
      <c r="B61" s="11">
        <v>134700</v>
      </c>
      <c r="C61" s="11">
        <v>112700</v>
      </c>
      <c r="D61" s="11"/>
      <c r="E61" s="11"/>
      <c r="F61" s="14">
        <v>0</v>
      </c>
      <c r="G61" s="14">
        <f t="shared" si="2"/>
        <v>0</v>
      </c>
    </row>
    <row r="62" spans="1:7" ht="13.5" customHeight="1" outlineLevel="3" x14ac:dyDescent="0.25">
      <c r="A62" s="10" t="s">
        <v>12</v>
      </c>
      <c r="B62" s="11">
        <v>159327</v>
      </c>
      <c r="C62" s="11">
        <v>13000</v>
      </c>
      <c r="D62" s="11">
        <v>487.1</v>
      </c>
      <c r="E62" s="11">
        <v>487.1</v>
      </c>
      <c r="F62" s="14">
        <f t="shared" si="1"/>
        <v>3.7469230769230769E-2</v>
      </c>
      <c r="G62" s="14">
        <f t="shared" si="2"/>
        <v>3.0572344925844336E-3</v>
      </c>
    </row>
    <row r="63" spans="1:7" ht="13.5" customHeight="1" outlineLevel="3" x14ac:dyDescent="0.25">
      <c r="A63" s="10" t="s">
        <v>13</v>
      </c>
      <c r="B63" s="11">
        <v>25209</v>
      </c>
      <c r="C63" s="11">
        <v>15000</v>
      </c>
      <c r="D63" s="11"/>
      <c r="E63" s="11"/>
      <c r="F63" s="14">
        <f t="shared" si="1"/>
        <v>0</v>
      </c>
      <c r="G63" s="14">
        <f t="shared" si="2"/>
        <v>0</v>
      </c>
    </row>
    <row r="64" spans="1:7" ht="13.5" customHeight="1" outlineLevel="3" x14ac:dyDescent="0.25">
      <c r="A64" s="10" t="s">
        <v>14</v>
      </c>
      <c r="B64" s="11">
        <v>3449</v>
      </c>
      <c r="C64" s="11">
        <v>700</v>
      </c>
      <c r="D64" s="11"/>
      <c r="E64" s="11"/>
      <c r="F64" s="14">
        <f t="shared" si="1"/>
        <v>0</v>
      </c>
      <c r="G64" s="14">
        <f t="shared" si="2"/>
        <v>0</v>
      </c>
    </row>
    <row r="65" spans="1:7" ht="13.5" customHeight="1" outlineLevel="3" x14ac:dyDescent="0.25">
      <c r="A65" s="10" t="s">
        <v>15</v>
      </c>
      <c r="B65" s="11">
        <v>45100</v>
      </c>
      <c r="C65" s="11">
        <v>8100</v>
      </c>
      <c r="D65" s="11"/>
      <c r="E65" s="11"/>
      <c r="F65" s="14">
        <f t="shared" si="1"/>
        <v>0</v>
      </c>
      <c r="G65" s="14">
        <f t="shared" si="2"/>
        <v>0</v>
      </c>
    </row>
    <row r="66" spans="1:7" ht="13.5" customHeight="1" outlineLevel="3" x14ac:dyDescent="0.25">
      <c r="A66" s="10" t="s">
        <v>56</v>
      </c>
      <c r="B66" s="11">
        <v>101200</v>
      </c>
      <c r="C66" s="11"/>
      <c r="D66" s="11"/>
      <c r="E66" s="11"/>
      <c r="F66" s="14">
        <v>0</v>
      </c>
      <c r="G66" s="14">
        <f t="shared" si="2"/>
        <v>0</v>
      </c>
    </row>
    <row r="67" spans="1:7" s="17" customFormat="1" ht="27" customHeight="1" outlineLevel="2" x14ac:dyDescent="0.2">
      <c r="A67" s="8" t="s">
        <v>23</v>
      </c>
      <c r="B67" s="9">
        <v>15219262</v>
      </c>
      <c r="C67" s="9">
        <v>2534044</v>
      </c>
      <c r="D67" s="9">
        <v>2459379.4500000002</v>
      </c>
      <c r="E67" s="9">
        <v>2459379.4500000002</v>
      </c>
      <c r="F67" s="16">
        <f t="shared" si="1"/>
        <v>0.97053541690673095</v>
      </c>
      <c r="G67" s="16">
        <f t="shared" si="2"/>
        <v>0.16159649856872169</v>
      </c>
    </row>
    <row r="68" spans="1:7" ht="12.75" customHeight="1" outlineLevel="3" x14ac:dyDescent="0.25">
      <c r="A68" s="10" t="s">
        <v>9</v>
      </c>
      <c r="B68" s="11">
        <v>12462510</v>
      </c>
      <c r="C68" s="11">
        <v>2077086</v>
      </c>
      <c r="D68" s="11">
        <v>2021518.05</v>
      </c>
      <c r="E68" s="11">
        <v>2021518.05</v>
      </c>
      <c r="F68" s="14">
        <f t="shared" si="1"/>
        <v>0.97324715972280396</v>
      </c>
      <c r="G68" s="14">
        <f t="shared" si="2"/>
        <v>0.16220793804779293</v>
      </c>
    </row>
    <row r="69" spans="1:7" ht="12.75" customHeight="1" outlineLevel="3" x14ac:dyDescent="0.25">
      <c r="A69" s="10" t="s">
        <v>10</v>
      </c>
      <c r="B69" s="11">
        <v>2741752</v>
      </c>
      <c r="C69" s="11">
        <v>456958</v>
      </c>
      <c r="D69" s="11">
        <v>437861.4</v>
      </c>
      <c r="E69" s="11">
        <v>437861.4</v>
      </c>
      <c r="F69" s="14">
        <f t="shared" si="1"/>
        <v>0.95820928838098907</v>
      </c>
      <c r="G69" s="14">
        <f t="shared" si="2"/>
        <v>0.1597013150715309</v>
      </c>
    </row>
    <row r="70" spans="1:7" ht="12.75" customHeight="1" outlineLevel="3" x14ac:dyDescent="0.25">
      <c r="A70" s="10" t="s">
        <v>11</v>
      </c>
      <c r="B70" s="11">
        <v>15000</v>
      </c>
      <c r="C70" s="11"/>
      <c r="D70" s="11"/>
      <c r="E70" s="11"/>
      <c r="F70" s="14">
        <v>0</v>
      </c>
      <c r="G70" s="14">
        <f t="shared" si="2"/>
        <v>0</v>
      </c>
    </row>
    <row r="71" spans="1:7" s="17" customFormat="1" ht="26.25" customHeight="1" outlineLevel="2" x14ac:dyDescent="0.2">
      <c r="A71" s="8" t="s">
        <v>24</v>
      </c>
      <c r="B71" s="9">
        <v>16204679</v>
      </c>
      <c r="C71" s="9">
        <v>2873747</v>
      </c>
      <c r="D71" s="9">
        <v>2345127.2999999998</v>
      </c>
      <c r="E71" s="9">
        <v>2345127.2999999998</v>
      </c>
      <c r="F71" s="16">
        <f t="shared" ref="F71:F134" si="5">D71/C71</f>
        <v>0.81605210897131852</v>
      </c>
      <c r="G71" s="16">
        <f t="shared" ref="G71:G134" si="6">D71/B71</f>
        <v>0.1447191456245446</v>
      </c>
    </row>
    <row r="72" spans="1:7" ht="12.75" customHeight="1" outlineLevel="3" x14ac:dyDescent="0.25">
      <c r="A72" s="10" t="s">
        <v>9</v>
      </c>
      <c r="B72" s="11">
        <v>11123899</v>
      </c>
      <c r="C72" s="11">
        <v>1853982</v>
      </c>
      <c r="D72" s="11">
        <v>1728889.29</v>
      </c>
      <c r="E72" s="11">
        <v>1728889.29</v>
      </c>
      <c r="F72" s="14">
        <f t="shared" si="5"/>
        <v>0.93252754881115352</v>
      </c>
      <c r="G72" s="14">
        <f t="shared" si="6"/>
        <v>0.15542116033236189</v>
      </c>
    </row>
    <row r="73" spans="1:7" ht="12.75" customHeight="1" outlineLevel="3" x14ac:dyDescent="0.25">
      <c r="A73" s="10" t="s">
        <v>10</v>
      </c>
      <c r="B73" s="11">
        <v>2447258</v>
      </c>
      <c r="C73" s="11">
        <v>407878</v>
      </c>
      <c r="D73" s="11">
        <v>401048.59</v>
      </c>
      <c r="E73" s="11">
        <v>401048.59</v>
      </c>
      <c r="F73" s="14">
        <f t="shared" si="5"/>
        <v>0.98325624328843431</v>
      </c>
      <c r="G73" s="14">
        <f t="shared" si="6"/>
        <v>0.16387671017931091</v>
      </c>
    </row>
    <row r="74" spans="1:7" ht="12.75" customHeight="1" outlineLevel="3" x14ac:dyDescent="0.25">
      <c r="A74" s="10" t="s">
        <v>11</v>
      </c>
      <c r="B74" s="11">
        <v>358109</v>
      </c>
      <c r="C74" s="11">
        <v>59600</v>
      </c>
      <c r="D74" s="11">
        <v>4200</v>
      </c>
      <c r="E74" s="11">
        <v>4200</v>
      </c>
      <c r="F74" s="14">
        <f t="shared" si="5"/>
        <v>7.0469798657718116E-2</v>
      </c>
      <c r="G74" s="14">
        <f t="shared" si="6"/>
        <v>1.1728272676754843E-2</v>
      </c>
    </row>
    <row r="75" spans="1:7" ht="12.75" customHeight="1" outlineLevel="3" x14ac:dyDescent="0.25">
      <c r="A75" s="10" t="s">
        <v>12</v>
      </c>
      <c r="B75" s="11">
        <v>770000</v>
      </c>
      <c r="C75" s="11">
        <v>128200</v>
      </c>
      <c r="D75" s="11">
        <v>95912.639999999999</v>
      </c>
      <c r="E75" s="11">
        <v>95912.639999999999</v>
      </c>
      <c r="F75" s="14">
        <f t="shared" si="5"/>
        <v>0.74814851794071757</v>
      </c>
      <c r="G75" s="14">
        <f t="shared" si="6"/>
        <v>0.12456187012987013</v>
      </c>
    </row>
    <row r="76" spans="1:7" ht="12.75" customHeight="1" outlineLevel="3" x14ac:dyDescent="0.25">
      <c r="A76" s="10" t="s">
        <v>13</v>
      </c>
      <c r="B76" s="11">
        <v>716049</v>
      </c>
      <c r="C76" s="11">
        <v>284542</v>
      </c>
      <c r="D76" s="11">
        <v>71119.08</v>
      </c>
      <c r="E76" s="11">
        <v>71119.08</v>
      </c>
      <c r="F76" s="14">
        <f t="shared" si="5"/>
        <v>0.24994229322911909</v>
      </c>
      <c r="G76" s="14">
        <f t="shared" si="6"/>
        <v>9.9321526878747124E-2</v>
      </c>
    </row>
    <row r="77" spans="1:7" ht="12.75" customHeight="1" outlineLevel="3" x14ac:dyDescent="0.25">
      <c r="A77" s="10" t="s">
        <v>14</v>
      </c>
      <c r="B77" s="11">
        <v>67269</v>
      </c>
      <c r="C77" s="11">
        <v>15722</v>
      </c>
      <c r="D77" s="11">
        <v>5374.68</v>
      </c>
      <c r="E77" s="11">
        <v>5374.68</v>
      </c>
      <c r="F77" s="14">
        <f t="shared" si="5"/>
        <v>0.34185727006742145</v>
      </c>
      <c r="G77" s="14">
        <f t="shared" si="6"/>
        <v>7.989831869063016E-2</v>
      </c>
    </row>
    <row r="78" spans="1:7" ht="12.75" customHeight="1" outlineLevel="3" x14ac:dyDescent="0.25">
      <c r="A78" s="10" t="s">
        <v>15</v>
      </c>
      <c r="B78" s="11">
        <v>557095</v>
      </c>
      <c r="C78" s="11">
        <v>108823</v>
      </c>
      <c r="D78" s="11">
        <v>37986.65</v>
      </c>
      <c r="E78" s="11">
        <v>37986.65</v>
      </c>
      <c r="F78" s="14">
        <f t="shared" si="5"/>
        <v>0.34906821168319196</v>
      </c>
      <c r="G78" s="14">
        <f t="shared" si="6"/>
        <v>6.8187023757168883E-2</v>
      </c>
    </row>
    <row r="79" spans="1:7" ht="12.75" customHeight="1" outlineLevel="3" x14ac:dyDescent="0.25">
      <c r="A79" s="10" t="s">
        <v>18</v>
      </c>
      <c r="B79" s="11">
        <v>15000</v>
      </c>
      <c r="C79" s="11">
        <v>15000</v>
      </c>
      <c r="D79" s="11">
        <v>596.37</v>
      </c>
      <c r="E79" s="11">
        <v>596.37</v>
      </c>
      <c r="F79" s="14">
        <v>0</v>
      </c>
      <c r="G79" s="14">
        <f t="shared" si="6"/>
        <v>3.9758000000000002E-2</v>
      </c>
    </row>
    <row r="80" spans="1:7" ht="12.75" customHeight="1" outlineLevel="3" x14ac:dyDescent="0.25">
      <c r="A80" s="10" t="s">
        <v>56</v>
      </c>
      <c r="B80" s="11">
        <v>150000</v>
      </c>
      <c r="C80" s="11"/>
      <c r="D80" s="11"/>
      <c r="E80" s="11"/>
      <c r="F80" s="14">
        <v>0</v>
      </c>
      <c r="G80" s="14">
        <f t="shared" si="6"/>
        <v>0</v>
      </c>
    </row>
    <row r="81" spans="1:7" s="17" customFormat="1" ht="26.25" customHeight="1" outlineLevel="2" x14ac:dyDescent="0.2">
      <c r="A81" s="8" t="s">
        <v>25</v>
      </c>
      <c r="B81" s="9">
        <v>3411488</v>
      </c>
      <c r="C81" s="9">
        <v>554286</v>
      </c>
      <c r="D81" s="9">
        <v>523558.59</v>
      </c>
      <c r="E81" s="9">
        <v>523558.59</v>
      </c>
      <c r="F81" s="16">
        <f t="shared" si="5"/>
        <v>0.94456397960619609</v>
      </c>
      <c r="G81" s="16">
        <f t="shared" si="6"/>
        <v>0.15346927499085444</v>
      </c>
    </row>
    <row r="82" spans="1:7" ht="12.75" customHeight="1" outlineLevel="3" x14ac:dyDescent="0.25">
      <c r="A82" s="10" t="s">
        <v>9</v>
      </c>
      <c r="B82" s="11">
        <v>2511272</v>
      </c>
      <c r="C82" s="11">
        <v>425546</v>
      </c>
      <c r="D82" s="11">
        <v>425366.66</v>
      </c>
      <c r="E82" s="11">
        <v>425366.66</v>
      </c>
      <c r="F82" s="14">
        <f t="shared" si="5"/>
        <v>0.99957856494950015</v>
      </c>
      <c r="G82" s="14">
        <f t="shared" si="6"/>
        <v>0.16938295015434407</v>
      </c>
    </row>
    <row r="83" spans="1:7" ht="12.75" customHeight="1" outlineLevel="3" x14ac:dyDescent="0.25">
      <c r="A83" s="10" t="s">
        <v>10</v>
      </c>
      <c r="B83" s="11">
        <v>552480</v>
      </c>
      <c r="C83" s="11">
        <v>93620</v>
      </c>
      <c r="D83" s="11">
        <v>93580.66</v>
      </c>
      <c r="E83" s="11">
        <v>93580.66</v>
      </c>
      <c r="F83" s="14">
        <f t="shared" si="5"/>
        <v>0.99957979064302505</v>
      </c>
      <c r="G83" s="14">
        <f t="shared" si="6"/>
        <v>0.16938289168838691</v>
      </c>
    </row>
    <row r="84" spans="1:7" ht="12.75" customHeight="1" outlineLevel="3" x14ac:dyDescent="0.25">
      <c r="A84" s="10" t="s">
        <v>11</v>
      </c>
      <c r="B84" s="11">
        <v>50000</v>
      </c>
      <c r="C84" s="11"/>
      <c r="D84" s="11"/>
      <c r="E84" s="11"/>
      <c r="F84" s="14">
        <v>0</v>
      </c>
      <c r="G84" s="14">
        <f t="shared" si="6"/>
        <v>0</v>
      </c>
    </row>
    <row r="85" spans="1:7" ht="12.75" customHeight="1" outlineLevel="3" x14ac:dyDescent="0.25">
      <c r="A85" s="10" t="s">
        <v>12</v>
      </c>
      <c r="B85" s="11">
        <v>233100</v>
      </c>
      <c r="C85" s="11">
        <v>20000</v>
      </c>
      <c r="D85" s="11">
        <v>2141.65</v>
      </c>
      <c r="E85" s="11">
        <v>2141.65</v>
      </c>
      <c r="F85" s="14">
        <f t="shared" si="5"/>
        <v>0.10708250000000001</v>
      </c>
      <c r="G85" s="14">
        <f t="shared" si="6"/>
        <v>9.187687687687688E-3</v>
      </c>
    </row>
    <row r="86" spans="1:7" ht="12.75" customHeight="1" outlineLevel="3" x14ac:dyDescent="0.25">
      <c r="A86" s="10" t="s">
        <v>13</v>
      </c>
      <c r="B86" s="11">
        <v>24673</v>
      </c>
      <c r="C86" s="11">
        <v>9118</v>
      </c>
      <c r="D86" s="11"/>
      <c r="E86" s="11"/>
      <c r="F86" s="14">
        <f t="shared" si="5"/>
        <v>0</v>
      </c>
      <c r="G86" s="14">
        <f t="shared" si="6"/>
        <v>0</v>
      </c>
    </row>
    <row r="87" spans="1:7" ht="12.75" customHeight="1" outlineLevel="3" x14ac:dyDescent="0.25">
      <c r="A87" s="10" t="s">
        <v>14</v>
      </c>
      <c r="B87" s="11">
        <v>2615</v>
      </c>
      <c r="C87" s="11">
        <v>444</v>
      </c>
      <c r="D87" s="11">
        <v>406.51</v>
      </c>
      <c r="E87" s="11">
        <v>406.51</v>
      </c>
      <c r="F87" s="14">
        <f t="shared" si="5"/>
        <v>0.91556306306306301</v>
      </c>
      <c r="G87" s="14">
        <f t="shared" si="6"/>
        <v>0.15545315487571701</v>
      </c>
    </row>
    <row r="88" spans="1:7" ht="12.75" customHeight="1" outlineLevel="3" x14ac:dyDescent="0.25">
      <c r="A88" s="10" t="s">
        <v>15</v>
      </c>
      <c r="B88" s="11">
        <v>28500</v>
      </c>
      <c r="C88" s="11">
        <v>5250</v>
      </c>
      <c r="D88" s="11">
        <v>1755.12</v>
      </c>
      <c r="E88" s="11">
        <v>1755.12</v>
      </c>
      <c r="F88" s="14">
        <f t="shared" si="5"/>
        <v>0.3343085714285714</v>
      </c>
      <c r="G88" s="14">
        <f t="shared" si="6"/>
        <v>6.158315789473684E-2</v>
      </c>
    </row>
    <row r="89" spans="1:7" ht="12.75" customHeight="1" outlineLevel="3" x14ac:dyDescent="0.25">
      <c r="A89" s="10" t="s">
        <v>26</v>
      </c>
      <c r="B89" s="11">
        <v>1848</v>
      </c>
      <c r="C89" s="11">
        <v>308</v>
      </c>
      <c r="D89" s="11">
        <v>307.99</v>
      </c>
      <c r="E89" s="11">
        <v>307.99</v>
      </c>
      <c r="F89" s="14">
        <f t="shared" si="5"/>
        <v>0.99996753246753245</v>
      </c>
      <c r="G89" s="14">
        <f t="shared" si="6"/>
        <v>0.16666125541125543</v>
      </c>
    </row>
    <row r="90" spans="1:7" ht="27.75" customHeight="1" outlineLevel="3" x14ac:dyDescent="0.25">
      <c r="A90" s="10" t="s">
        <v>16</v>
      </c>
      <c r="B90" s="11">
        <v>7000</v>
      </c>
      <c r="C90" s="11"/>
      <c r="D90" s="11"/>
      <c r="E90" s="11"/>
      <c r="F90" s="14">
        <v>0</v>
      </c>
      <c r="G90" s="14">
        <f t="shared" si="6"/>
        <v>0</v>
      </c>
    </row>
    <row r="91" spans="1:7" s="27" customFormat="1" ht="21" customHeight="1" outlineLevel="3" x14ac:dyDescent="0.2">
      <c r="A91" s="24" t="s">
        <v>27</v>
      </c>
      <c r="B91" s="25">
        <f>B92+B138+B199+B214+B237+B272+B276+B283+B320+B340+B351+B354+B373+B383+B402+B380</f>
        <v>3870181855</v>
      </c>
      <c r="C91" s="25">
        <f t="shared" ref="C91:E91" si="7">C92+C138+C199+C214+C237+C272+C276+C283+C320+C340+C351+C354+C373+C383+C402+C380</f>
        <v>717887949</v>
      </c>
      <c r="D91" s="25">
        <f t="shared" si="7"/>
        <v>611613325.5999999</v>
      </c>
      <c r="E91" s="25">
        <f t="shared" si="7"/>
        <v>589204288.41999996</v>
      </c>
      <c r="F91" s="26">
        <f t="shared" ref="F91" si="8">D91/C91</f>
        <v>0.85196210140031181</v>
      </c>
      <c r="G91" s="26">
        <f t="shared" si="6"/>
        <v>0.15803219293425164</v>
      </c>
    </row>
    <row r="92" spans="1:7" s="18" customFormat="1" ht="15.75" customHeight="1" outlineLevel="1" x14ac:dyDescent="0.2">
      <c r="A92" s="28" t="s">
        <v>65</v>
      </c>
      <c r="B92" s="22">
        <f>B93+B104+B114+B125</f>
        <v>1211920903</v>
      </c>
      <c r="C92" s="22">
        <f>C93+C104+C114+C125</f>
        <v>206549281</v>
      </c>
      <c r="D92" s="22">
        <f t="shared" ref="D92:E92" si="9">D93+D104+D114+D125</f>
        <v>168040315.91</v>
      </c>
      <c r="E92" s="22">
        <f t="shared" si="9"/>
        <v>168036965.26000002</v>
      </c>
      <c r="F92" s="23">
        <f t="shared" si="5"/>
        <v>0.81356040116159978</v>
      </c>
      <c r="G92" s="23">
        <f t="shared" si="6"/>
        <v>0.13865617425529295</v>
      </c>
    </row>
    <row r="93" spans="1:7" ht="26.25" customHeight="1" outlineLevel="2" x14ac:dyDescent="0.25">
      <c r="A93" s="5" t="s">
        <v>28</v>
      </c>
      <c r="B93" s="6">
        <v>11702620</v>
      </c>
      <c r="C93" s="6">
        <v>1843866</v>
      </c>
      <c r="D93" s="6">
        <v>1510968.98</v>
      </c>
      <c r="E93" s="6">
        <v>1510968.98</v>
      </c>
      <c r="F93" s="7">
        <f t="shared" si="5"/>
        <v>0.8194570429738387</v>
      </c>
      <c r="G93" s="7">
        <f t="shared" si="6"/>
        <v>0.12911373521484931</v>
      </c>
    </row>
    <row r="94" spans="1:7" ht="14.25" customHeight="1" outlineLevel="3" x14ac:dyDescent="0.25">
      <c r="A94" s="10" t="s">
        <v>9</v>
      </c>
      <c r="B94" s="11">
        <v>8373841</v>
      </c>
      <c r="C94" s="11">
        <v>1240000</v>
      </c>
      <c r="D94" s="11">
        <v>1227754.74</v>
      </c>
      <c r="E94" s="11">
        <v>1227754.74</v>
      </c>
      <c r="F94" s="14">
        <f t="shared" si="5"/>
        <v>0.99012479032258061</v>
      </c>
      <c r="G94" s="14">
        <f t="shared" si="6"/>
        <v>0.14661787105821569</v>
      </c>
    </row>
    <row r="95" spans="1:7" ht="14.25" customHeight="1" outlineLevel="3" x14ac:dyDescent="0.25">
      <c r="A95" s="10" t="s">
        <v>10</v>
      </c>
      <c r="B95" s="11">
        <v>1842245</v>
      </c>
      <c r="C95" s="11">
        <v>272800</v>
      </c>
      <c r="D95" s="11">
        <v>262437.42</v>
      </c>
      <c r="E95" s="11">
        <v>262437.42</v>
      </c>
      <c r="F95" s="14">
        <f t="shared" si="5"/>
        <v>0.96201400293255124</v>
      </c>
      <c r="G95" s="14">
        <f t="shared" si="6"/>
        <v>0.14245522175389266</v>
      </c>
    </row>
    <row r="96" spans="1:7" ht="14.25" customHeight="1" outlineLevel="3" x14ac:dyDescent="0.25">
      <c r="A96" s="10" t="s">
        <v>11</v>
      </c>
      <c r="B96" s="11">
        <v>101356</v>
      </c>
      <c r="C96" s="11"/>
      <c r="D96" s="11"/>
      <c r="E96" s="11"/>
      <c r="F96" s="14">
        <v>0</v>
      </c>
      <c r="G96" s="14">
        <f t="shared" si="6"/>
        <v>0</v>
      </c>
    </row>
    <row r="97" spans="1:7" ht="14.25" customHeight="1" outlineLevel="3" x14ac:dyDescent="0.25">
      <c r="A97" s="10" t="s">
        <v>29</v>
      </c>
      <c r="B97" s="11">
        <v>5217</v>
      </c>
      <c r="C97" s="11"/>
      <c r="D97" s="11"/>
      <c r="E97" s="11"/>
      <c r="F97" s="14">
        <v>0</v>
      </c>
      <c r="G97" s="14">
        <f t="shared" si="6"/>
        <v>0</v>
      </c>
    </row>
    <row r="98" spans="1:7" ht="14.25" customHeight="1" outlineLevel="3" x14ac:dyDescent="0.25">
      <c r="A98" s="10" t="s">
        <v>12</v>
      </c>
      <c r="B98" s="11">
        <v>280248</v>
      </c>
      <c r="C98" s="11">
        <v>50000</v>
      </c>
      <c r="D98" s="11">
        <v>6748</v>
      </c>
      <c r="E98" s="11">
        <v>6748</v>
      </c>
      <c r="F98" s="14">
        <f t="shared" si="5"/>
        <v>0.13496</v>
      </c>
      <c r="G98" s="14">
        <f t="shared" si="6"/>
        <v>2.4078673175187693E-2</v>
      </c>
    </row>
    <row r="99" spans="1:7" ht="14.25" customHeight="1" outlineLevel="3" x14ac:dyDescent="0.25">
      <c r="A99" s="10" t="s">
        <v>13</v>
      </c>
      <c r="B99" s="11">
        <v>643020</v>
      </c>
      <c r="C99" s="11">
        <v>190000</v>
      </c>
      <c r="D99" s="11"/>
      <c r="E99" s="11"/>
      <c r="F99" s="14">
        <f t="shared" si="5"/>
        <v>0</v>
      </c>
      <c r="G99" s="14">
        <f t="shared" si="6"/>
        <v>0</v>
      </c>
    </row>
    <row r="100" spans="1:7" ht="14.25" customHeight="1" outlineLevel="3" x14ac:dyDescent="0.25">
      <c r="A100" s="10" t="s">
        <v>14</v>
      </c>
      <c r="B100" s="11">
        <v>45298</v>
      </c>
      <c r="C100" s="11">
        <v>8000</v>
      </c>
      <c r="D100" s="11"/>
      <c r="E100" s="11"/>
      <c r="F100" s="14">
        <f t="shared" si="5"/>
        <v>0</v>
      </c>
      <c r="G100" s="14">
        <f t="shared" si="6"/>
        <v>0</v>
      </c>
    </row>
    <row r="101" spans="1:7" ht="14.25" customHeight="1" outlineLevel="3" x14ac:dyDescent="0.25">
      <c r="A101" s="10" t="s">
        <v>15</v>
      </c>
      <c r="B101" s="11">
        <v>390000</v>
      </c>
      <c r="C101" s="11">
        <v>80000</v>
      </c>
      <c r="D101" s="11">
        <v>11966.82</v>
      </c>
      <c r="E101" s="11">
        <v>11966.82</v>
      </c>
      <c r="F101" s="14">
        <f t="shared" si="5"/>
        <v>0.14958525</v>
      </c>
      <c r="G101" s="14">
        <f t="shared" si="6"/>
        <v>3.0684153846153847E-2</v>
      </c>
    </row>
    <row r="102" spans="1:7" ht="14.25" customHeight="1" outlineLevel="3" x14ac:dyDescent="0.25">
      <c r="A102" s="10" t="s">
        <v>26</v>
      </c>
      <c r="B102" s="11">
        <v>18395</v>
      </c>
      <c r="C102" s="11">
        <v>3066</v>
      </c>
      <c r="D102" s="11">
        <v>2062</v>
      </c>
      <c r="E102" s="11">
        <v>2062</v>
      </c>
      <c r="F102" s="14">
        <f t="shared" si="5"/>
        <v>0.67253750815394653</v>
      </c>
      <c r="G102" s="14">
        <f t="shared" si="6"/>
        <v>0.11209567817341669</v>
      </c>
    </row>
    <row r="103" spans="1:7" ht="24.75" customHeight="1" outlineLevel="3" x14ac:dyDescent="0.25">
      <c r="A103" s="10" t="s">
        <v>16</v>
      </c>
      <c r="B103" s="11">
        <v>3000</v>
      </c>
      <c r="C103" s="11"/>
      <c r="D103" s="11"/>
      <c r="E103" s="11"/>
      <c r="F103" s="14">
        <v>0</v>
      </c>
      <c r="G103" s="14">
        <f t="shared" si="6"/>
        <v>0</v>
      </c>
    </row>
    <row r="104" spans="1:7" ht="16.5" customHeight="1" outlineLevel="2" x14ac:dyDescent="0.25">
      <c r="A104" s="5" t="s">
        <v>30</v>
      </c>
      <c r="B104" s="6">
        <v>15264288</v>
      </c>
      <c r="C104" s="6">
        <v>3108191</v>
      </c>
      <c r="D104" s="6">
        <v>2948860.28</v>
      </c>
      <c r="E104" s="6">
        <v>2948860.28</v>
      </c>
      <c r="F104" s="7">
        <f t="shared" si="5"/>
        <v>0.94873843981917449</v>
      </c>
      <c r="G104" s="7">
        <f t="shared" si="6"/>
        <v>0.19318688693504735</v>
      </c>
    </row>
    <row r="105" spans="1:7" ht="12.75" customHeight="1" outlineLevel="3" x14ac:dyDescent="0.25">
      <c r="A105" s="10" t="s">
        <v>9</v>
      </c>
      <c r="B105" s="11">
        <v>10922401</v>
      </c>
      <c r="C105" s="11">
        <v>2220000</v>
      </c>
      <c r="D105" s="11">
        <v>2219399.66</v>
      </c>
      <c r="E105" s="11">
        <v>2219399.66</v>
      </c>
      <c r="F105" s="14">
        <f t="shared" si="5"/>
        <v>0.99972957657657668</v>
      </c>
      <c r="G105" s="14">
        <f t="shared" si="6"/>
        <v>0.20319704980617359</v>
      </c>
    </row>
    <row r="106" spans="1:7" ht="12.75" customHeight="1" outlineLevel="3" x14ac:dyDescent="0.25">
      <c r="A106" s="10" t="s">
        <v>10</v>
      </c>
      <c r="B106" s="11">
        <v>2402928</v>
      </c>
      <c r="C106" s="11">
        <v>488400</v>
      </c>
      <c r="D106" s="11">
        <v>488400</v>
      </c>
      <c r="E106" s="11">
        <v>488400</v>
      </c>
      <c r="F106" s="14">
        <f t="shared" si="5"/>
        <v>1</v>
      </c>
      <c r="G106" s="14">
        <f t="shared" si="6"/>
        <v>0.2032520325203252</v>
      </c>
    </row>
    <row r="107" spans="1:7" ht="12.75" customHeight="1" outlineLevel="3" x14ac:dyDescent="0.25">
      <c r="A107" s="10" t="s">
        <v>11</v>
      </c>
      <c r="B107" s="11">
        <v>25228</v>
      </c>
      <c r="C107" s="11"/>
      <c r="D107" s="11"/>
      <c r="E107" s="11"/>
      <c r="F107" s="14">
        <v>0</v>
      </c>
      <c r="G107" s="14">
        <f t="shared" si="6"/>
        <v>0</v>
      </c>
    </row>
    <row r="108" spans="1:7" ht="12.75" customHeight="1" outlineLevel="3" x14ac:dyDescent="0.25">
      <c r="A108" s="10" t="s">
        <v>29</v>
      </c>
      <c r="B108" s="11">
        <v>5228</v>
      </c>
      <c r="C108" s="11"/>
      <c r="D108" s="11"/>
      <c r="E108" s="11"/>
      <c r="F108" s="14">
        <v>0</v>
      </c>
      <c r="G108" s="14">
        <f t="shared" si="6"/>
        <v>0</v>
      </c>
    </row>
    <row r="109" spans="1:7" ht="12.75" customHeight="1" outlineLevel="3" x14ac:dyDescent="0.25">
      <c r="A109" s="10" t="s">
        <v>12</v>
      </c>
      <c r="B109" s="11">
        <v>400585</v>
      </c>
      <c r="C109" s="11">
        <v>19400</v>
      </c>
      <c r="D109" s="11">
        <v>2348</v>
      </c>
      <c r="E109" s="11">
        <v>2348</v>
      </c>
      <c r="F109" s="14">
        <f t="shared" si="5"/>
        <v>0.12103092783505155</v>
      </c>
      <c r="G109" s="14">
        <f t="shared" si="6"/>
        <v>5.8614276620442603E-3</v>
      </c>
    </row>
    <row r="110" spans="1:7" ht="12.75" customHeight="1" outlineLevel="3" x14ac:dyDescent="0.25">
      <c r="A110" s="10" t="s">
        <v>13</v>
      </c>
      <c r="B110" s="11">
        <v>682100</v>
      </c>
      <c r="C110" s="11">
        <v>231343</v>
      </c>
      <c r="D110" s="11">
        <v>202936.67</v>
      </c>
      <c r="E110" s="11">
        <v>202936.67</v>
      </c>
      <c r="F110" s="14">
        <f t="shared" si="5"/>
        <v>0.87721119722662888</v>
      </c>
      <c r="G110" s="14">
        <f t="shared" si="6"/>
        <v>0.29751747544348339</v>
      </c>
    </row>
    <row r="111" spans="1:7" ht="12.75" customHeight="1" outlineLevel="3" x14ac:dyDescent="0.25">
      <c r="A111" s="10" t="s">
        <v>14</v>
      </c>
      <c r="B111" s="11">
        <v>159318</v>
      </c>
      <c r="C111" s="11">
        <v>24048</v>
      </c>
      <c r="D111" s="11">
        <v>23868.22</v>
      </c>
      <c r="E111" s="11">
        <v>23868.22</v>
      </c>
      <c r="F111" s="14">
        <f t="shared" si="5"/>
        <v>0.99252411842980715</v>
      </c>
      <c r="G111" s="14">
        <f t="shared" si="6"/>
        <v>0.14981496127242372</v>
      </c>
    </row>
    <row r="112" spans="1:7" ht="12.75" customHeight="1" outlineLevel="3" x14ac:dyDescent="0.25">
      <c r="A112" s="10" t="s">
        <v>15</v>
      </c>
      <c r="B112" s="11">
        <v>642500</v>
      </c>
      <c r="C112" s="11">
        <v>121000</v>
      </c>
      <c r="D112" s="11">
        <v>7924.22</v>
      </c>
      <c r="E112" s="11">
        <v>7924.22</v>
      </c>
      <c r="F112" s="14">
        <f t="shared" si="5"/>
        <v>6.5489421487603311E-2</v>
      </c>
      <c r="G112" s="14">
        <f t="shared" si="6"/>
        <v>1.2333416342412452E-2</v>
      </c>
    </row>
    <row r="113" spans="1:7" ht="12.75" customHeight="1" outlineLevel="3" x14ac:dyDescent="0.25">
      <c r="A113" s="10" t="s">
        <v>26</v>
      </c>
      <c r="B113" s="11">
        <v>24000</v>
      </c>
      <c r="C113" s="11">
        <v>4000</v>
      </c>
      <c r="D113" s="11">
        <v>3983.51</v>
      </c>
      <c r="E113" s="11">
        <v>3983.51</v>
      </c>
      <c r="F113" s="14">
        <f t="shared" si="5"/>
        <v>0.99587750000000008</v>
      </c>
      <c r="G113" s="14">
        <f t="shared" si="6"/>
        <v>0.16597958333333335</v>
      </c>
    </row>
    <row r="114" spans="1:7" ht="13.5" customHeight="1" outlineLevel="2" x14ac:dyDescent="0.25">
      <c r="A114" s="5" t="s">
        <v>31</v>
      </c>
      <c r="B114" s="6">
        <v>12987548</v>
      </c>
      <c r="C114" s="6">
        <v>2509809</v>
      </c>
      <c r="D114" s="6">
        <v>1819813.47</v>
      </c>
      <c r="E114" s="6">
        <v>1816462.82</v>
      </c>
      <c r="F114" s="7">
        <f t="shared" si="5"/>
        <v>0.72508046229812706</v>
      </c>
      <c r="G114" s="7">
        <f t="shared" si="6"/>
        <v>0.14011986481204919</v>
      </c>
    </row>
    <row r="115" spans="1:7" ht="12" customHeight="1" outlineLevel="3" x14ac:dyDescent="0.25">
      <c r="A115" s="10" t="s">
        <v>9</v>
      </c>
      <c r="B115" s="11">
        <v>7977155</v>
      </c>
      <c r="C115" s="11">
        <v>1241200</v>
      </c>
      <c r="D115" s="11">
        <v>1166918.3</v>
      </c>
      <c r="E115" s="11">
        <v>1163567.6499999999</v>
      </c>
      <c r="F115" s="14">
        <f t="shared" si="5"/>
        <v>0.94015331936835322</v>
      </c>
      <c r="G115" s="14">
        <f t="shared" si="6"/>
        <v>0.14628251550834853</v>
      </c>
    </row>
    <row r="116" spans="1:7" ht="12" customHeight="1" outlineLevel="3" x14ac:dyDescent="0.25">
      <c r="A116" s="10" t="s">
        <v>10</v>
      </c>
      <c r="B116" s="11">
        <v>1754973</v>
      </c>
      <c r="C116" s="11">
        <v>273000</v>
      </c>
      <c r="D116" s="11">
        <v>263140.03000000003</v>
      </c>
      <c r="E116" s="11">
        <v>263140.03000000003</v>
      </c>
      <c r="F116" s="14">
        <f t="shared" si="5"/>
        <v>0.96388289377289382</v>
      </c>
      <c r="G116" s="14">
        <f t="shared" si="6"/>
        <v>0.14993964579512051</v>
      </c>
    </row>
    <row r="117" spans="1:7" ht="12" customHeight="1" outlineLevel="3" x14ac:dyDescent="0.25">
      <c r="A117" s="10" t="s">
        <v>11</v>
      </c>
      <c r="B117" s="11">
        <v>150000</v>
      </c>
      <c r="C117" s="11">
        <v>50000</v>
      </c>
      <c r="D117" s="11">
        <v>4320</v>
      </c>
      <c r="E117" s="11">
        <v>4320</v>
      </c>
      <c r="F117" s="14">
        <v>0</v>
      </c>
      <c r="G117" s="14">
        <f t="shared" si="6"/>
        <v>2.8799999999999999E-2</v>
      </c>
    </row>
    <row r="118" spans="1:7" ht="12" customHeight="1" outlineLevel="3" x14ac:dyDescent="0.25">
      <c r="A118" s="10" t="s">
        <v>34</v>
      </c>
      <c r="B118" s="11">
        <v>449065</v>
      </c>
      <c r="C118" s="11">
        <v>80400</v>
      </c>
      <c r="D118" s="11">
        <v>30400.44</v>
      </c>
      <c r="E118" s="11">
        <v>30400.44</v>
      </c>
      <c r="F118" s="14">
        <f t="shared" si="5"/>
        <v>0.37811492537313429</v>
      </c>
      <c r="G118" s="14">
        <f t="shared" si="6"/>
        <v>6.7697193056684438E-2</v>
      </c>
    </row>
    <row r="119" spans="1:7" ht="12" customHeight="1" outlineLevel="3" x14ac:dyDescent="0.25">
      <c r="A119" s="10" t="s">
        <v>12</v>
      </c>
      <c r="B119" s="11">
        <v>180000</v>
      </c>
      <c r="C119" s="11">
        <v>35000</v>
      </c>
      <c r="D119" s="11">
        <v>29340.89</v>
      </c>
      <c r="E119" s="11">
        <v>29340.89</v>
      </c>
      <c r="F119" s="14">
        <f t="shared" si="5"/>
        <v>0.83831114285714281</v>
      </c>
      <c r="G119" s="14">
        <f t="shared" si="6"/>
        <v>0.16300494444444444</v>
      </c>
    </row>
    <row r="120" spans="1:7" ht="12" customHeight="1" outlineLevel="3" x14ac:dyDescent="0.25">
      <c r="A120" s="10" t="s">
        <v>13</v>
      </c>
      <c r="B120" s="11">
        <v>1716615</v>
      </c>
      <c r="C120" s="11">
        <v>696425</v>
      </c>
      <c r="D120" s="11">
        <v>291898.96000000002</v>
      </c>
      <c r="E120" s="11">
        <v>291898.96000000002</v>
      </c>
      <c r="F120" s="14">
        <f t="shared" si="5"/>
        <v>0.41913911763650075</v>
      </c>
      <c r="G120" s="14">
        <f t="shared" si="6"/>
        <v>0.17004334693568449</v>
      </c>
    </row>
    <row r="121" spans="1:7" ht="12" customHeight="1" outlineLevel="3" x14ac:dyDescent="0.25">
      <c r="A121" s="10" t="s">
        <v>14</v>
      </c>
      <c r="B121" s="11">
        <v>106988</v>
      </c>
      <c r="C121" s="11">
        <v>16666</v>
      </c>
      <c r="D121" s="11"/>
      <c r="E121" s="11"/>
      <c r="F121" s="14">
        <f t="shared" si="5"/>
        <v>0</v>
      </c>
      <c r="G121" s="14">
        <f t="shared" si="6"/>
        <v>0</v>
      </c>
    </row>
    <row r="122" spans="1:7" ht="12" customHeight="1" outlineLevel="3" x14ac:dyDescent="0.25">
      <c r="A122" s="10" t="s">
        <v>15</v>
      </c>
      <c r="B122" s="11">
        <v>620000</v>
      </c>
      <c r="C122" s="11">
        <v>112000</v>
      </c>
      <c r="D122" s="11">
        <v>29155.31</v>
      </c>
      <c r="E122" s="11">
        <v>29155.31</v>
      </c>
      <c r="F122" s="14">
        <f t="shared" si="5"/>
        <v>0.26031526785714287</v>
      </c>
      <c r="G122" s="14">
        <f t="shared" si="6"/>
        <v>4.7024693548387099E-2</v>
      </c>
    </row>
    <row r="123" spans="1:7" ht="12" customHeight="1" outlineLevel="3" x14ac:dyDescent="0.25">
      <c r="A123" s="10" t="s">
        <v>26</v>
      </c>
      <c r="B123" s="11">
        <v>30752</v>
      </c>
      <c r="C123" s="11">
        <v>5118</v>
      </c>
      <c r="D123" s="11">
        <v>4639.54</v>
      </c>
      <c r="E123" s="11">
        <v>4639.54</v>
      </c>
      <c r="F123" s="14">
        <f t="shared" si="5"/>
        <v>0.90651426338413443</v>
      </c>
      <c r="G123" s="14">
        <f t="shared" si="6"/>
        <v>0.15086953694068678</v>
      </c>
    </row>
    <row r="124" spans="1:7" ht="26.25" customHeight="1" outlineLevel="3" x14ac:dyDescent="0.25">
      <c r="A124" s="10" t="s">
        <v>16</v>
      </c>
      <c r="B124" s="11">
        <v>2000</v>
      </c>
      <c r="C124" s="11"/>
      <c r="D124" s="11"/>
      <c r="E124" s="11"/>
      <c r="F124" s="14">
        <v>0</v>
      </c>
      <c r="G124" s="14">
        <f t="shared" si="6"/>
        <v>0</v>
      </c>
    </row>
    <row r="125" spans="1:7" ht="26.25" customHeight="1" outlineLevel="2" x14ac:dyDescent="0.25">
      <c r="A125" s="5" t="s">
        <v>23</v>
      </c>
      <c r="B125" s="6">
        <f>SUM(B126:B137)</f>
        <v>1171966447</v>
      </c>
      <c r="C125" s="6">
        <f t="shared" ref="C125" si="10">SUM(C126:C137)</f>
        <v>199087415</v>
      </c>
      <c r="D125" s="6">
        <v>161760673.18000001</v>
      </c>
      <c r="E125" s="6">
        <v>161760673.18000001</v>
      </c>
      <c r="F125" s="7">
        <f t="shared" si="5"/>
        <v>0.81251079170423712</v>
      </c>
      <c r="G125" s="7">
        <f t="shared" si="6"/>
        <v>0.1380250036970555</v>
      </c>
    </row>
    <row r="126" spans="1:7" ht="12.75" customHeight="1" outlineLevel="3" x14ac:dyDescent="0.25">
      <c r="A126" s="10" t="s">
        <v>9</v>
      </c>
      <c r="B126" s="11">
        <v>793488100</v>
      </c>
      <c r="C126" s="11">
        <f>126310190-C94-C105-C115</f>
        <v>121608990</v>
      </c>
      <c r="D126" s="11">
        <v>121608990</v>
      </c>
      <c r="E126" s="11">
        <v>121608990</v>
      </c>
      <c r="F126" s="14">
        <f t="shared" si="5"/>
        <v>1</v>
      </c>
      <c r="G126" s="14">
        <f t="shared" si="6"/>
        <v>0.15325874452307475</v>
      </c>
    </row>
    <row r="127" spans="1:7" ht="12.75" customHeight="1" outlineLevel="3" x14ac:dyDescent="0.25">
      <c r="A127" s="10" t="s">
        <v>10</v>
      </c>
      <c r="B127" s="11">
        <v>174567388</v>
      </c>
      <c r="C127" s="11">
        <f>27788242-C95-C106-C116</f>
        <v>26754042</v>
      </c>
      <c r="D127" s="11">
        <v>26622756.079999998</v>
      </c>
      <c r="E127" s="11">
        <v>26622756.079999998</v>
      </c>
      <c r="F127" s="14">
        <f t="shared" si="5"/>
        <v>0.99509285662330937</v>
      </c>
      <c r="G127" s="14">
        <f t="shared" si="6"/>
        <v>0.15250704260981437</v>
      </c>
    </row>
    <row r="128" spans="1:7" ht="12.75" customHeight="1" outlineLevel="3" x14ac:dyDescent="0.25">
      <c r="A128" s="10" t="s">
        <v>11</v>
      </c>
      <c r="B128" s="11">
        <v>9723672</v>
      </c>
      <c r="C128" s="11">
        <f>350000-C96-C107-C117</f>
        <v>300000</v>
      </c>
      <c r="D128" s="11">
        <v>40213.5</v>
      </c>
      <c r="E128" s="11">
        <v>40213.5</v>
      </c>
      <c r="F128" s="14">
        <v>0</v>
      </c>
      <c r="G128" s="14">
        <f t="shared" si="6"/>
        <v>4.1356290092878492E-3</v>
      </c>
    </row>
    <row r="129" spans="1:8" ht="12.75" customHeight="1" outlineLevel="3" x14ac:dyDescent="0.25">
      <c r="A129" s="10" t="s">
        <v>29</v>
      </c>
      <c r="B129" s="11">
        <v>493221</v>
      </c>
      <c r="C129" s="11"/>
      <c r="D129" s="11"/>
      <c r="E129" s="11"/>
      <c r="F129" s="14">
        <v>0</v>
      </c>
      <c r="G129" s="14">
        <f t="shared" si="6"/>
        <v>0</v>
      </c>
    </row>
    <row r="130" spans="1:8" ht="12.75" customHeight="1" outlineLevel="3" x14ac:dyDescent="0.25">
      <c r="A130" s="10" t="s">
        <v>12</v>
      </c>
      <c r="B130" s="11">
        <v>86653407</v>
      </c>
      <c r="C130" s="11">
        <f>12252940-C98-C109-C119</f>
        <v>12148540</v>
      </c>
      <c r="D130" s="11">
        <v>3983552.51</v>
      </c>
      <c r="E130" s="11">
        <v>3983552.51</v>
      </c>
      <c r="F130" s="14">
        <f t="shared" si="5"/>
        <v>0.32790380654794732</v>
      </c>
      <c r="G130" s="14">
        <f t="shared" si="6"/>
        <v>4.597110082469117E-2</v>
      </c>
    </row>
    <row r="131" spans="1:8" ht="12.75" customHeight="1" outlineLevel="3" x14ac:dyDescent="0.25">
      <c r="A131" s="10" t="s">
        <v>13</v>
      </c>
      <c r="B131" s="11">
        <v>67195412</v>
      </c>
      <c r="C131" s="11">
        <f>31678590-C99-C110-C120</f>
        <v>30560822</v>
      </c>
      <c r="D131" s="11">
        <v>7711692.0700000003</v>
      </c>
      <c r="E131" s="11">
        <v>7711692.0700000003</v>
      </c>
      <c r="F131" s="14">
        <f t="shared" si="5"/>
        <v>0.25233915730408035</v>
      </c>
      <c r="G131" s="14">
        <f t="shared" si="6"/>
        <v>0.11476515792477023</v>
      </c>
    </row>
    <row r="132" spans="1:8" ht="12.75" customHeight="1" outlineLevel="3" x14ac:dyDescent="0.25">
      <c r="A132" s="10" t="s">
        <v>14</v>
      </c>
      <c r="B132" s="11">
        <v>8230793</v>
      </c>
      <c r="C132" s="11">
        <f>1494178-C100-C111-C121</f>
        <v>1445464</v>
      </c>
      <c r="D132" s="11">
        <v>1394483.42</v>
      </c>
      <c r="E132" s="11">
        <v>1394483.42</v>
      </c>
      <c r="F132" s="14">
        <f t="shared" si="5"/>
        <v>0.96473064704482436</v>
      </c>
      <c r="G132" s="14">
        <f t="shared" si="6"/>
        <v>0.16942272998482649</v>
      </c>
    </row>
    <row r="133" spans="1:8" ht="12.75" customHeight="1" outlineLevel="3" x14ac:dyDescent="0.25">
      <c r="A133" s="10" t="s">
        <v>15</v>
      </c>
      <c r="B133" s="11">
        <v>27175646</v>
      </c>
      <c r="C133" s="11">
        <f>6058420-C101-C112-C122</f>
        <v>5745420</v>
      </c>
      <c r="D133" s="11">
        <v>346025.22</v>
      </c>
      <c r="E133" s="11">
        <v>346025.22</v>
      </c>
      <c r="F133" s="14">
        <f t="shared" si="5"/>
        <v>6.0226270664285632E-2</v>
      </c>
      <c r="G133" s="14">
        <f t="shared" si="6"/>
        <v>1.2732916082289266E-2</v>
      </c>
    </row>
    <row r="134" spans="1:8" ht="12.75" customHeight="1" outlineLevel="3" x14ac:dyDescent="0.25">
      <c r="A134" s="10" t="s">
        <v>32</v>
      </c>
      <c r="B134" s="11">
        <v>306700</v>
      </c>
      <c r="C134" s="11">
        <f>58867</f>
        <v>58867</v>
      </c>
      <c r="D134" s="11">
        <v>429</v>
      </c>
      <c r="E134" s="11">
        <v>429</v>
      </c>
      <c r="F134" s="14">
        <f t="shared" si="5"/>
        <v>7.2876144529192928E-3</v>
      </c>
      <c r="G134" s="14">
        <f t="shared" si="6"/>
        <v>1.3987610042386696E-3</v>
      </c>
    </row>
    <row r="135" spans="1:8" ht="12.75" customHeight="1" outlineLevel="3" x14ac:dyDescent="0.25">
      <c r="A135" s="10" t="s">
        <v>26</v>
      </c>
      <c r="B135" s="11">
        <v>1496108</v>
      </c>
      <c r="C135" s="11">
        <f>477454-C123-C113-C102</f>
        <v>465270</v>
      </c>
      <c r="D135" s="11">
        <v>52531.38</v>
      </c>
      <c r="E135" s="11">
        <v>52531.38</v>
      </c>
      <c r="F135" s="14">
        <f t="shared" ref="F135:F183" si="11">D135/C135</f>
        <v>0.11290515184731446</v>
      </c>
      <c r="G135" s="14">
        <f t="shared" ref="G135:G199" si="12">D135/B135</f>
        <v>3.5112023998267503E-2</v>
      </c>
    </row>
    <row r="136" spans="1:8" ht="25.5" customHeight="1" outlineLevel="3" x14ac:dyDescent="0.25">
      <c r="A136" s="10" t="s">
        <v>16</v>
      </c>
      <c r="B136" s="11">
        <v>236000</v>
      </c>
      <c r="C136" s="29"/>
      <c r="D136" s="11"/>
      <c r="E136" s="11"/>
      <c r="F136" s="14">
        <v>0</v>
      </c>
      <c r="G136" s="14">
        <f t="shared" si="12"/>
        <v>0</v>
      </c>
    </row>
    <row r="137" spans="1:8" ht="15" customHeight="1" outlineLevel="3" x14ac:dyDescent="0.25">
      <c r="A137" s="10" t="s">
        <v>56</v>
      </c>
      <c r="B137" s="11">
        <v>2400000</v>
      </c>
      <c r="C137" s="11"/>
      <c r="D137" s="11"/>
      <c r="E137" s="11"/>
      <c r="F137" s="14">
        <v>0</v>
      </c>
      <c r="G137" s="14">
        <f t="shared" si="12"/>
        <v>0</v>
      </c>
    </row>
    <row r="138" spans="1:8" s="18" customFormat="1" ht="27.75" customHeight="1" outlineLevel="1" x14ac:dyDescent="0.2">
      <c r="A138" s="28" t="s">
        <v>66</v>
      </c>
      <c r="B138" s="22">
        <f>B139+B150+B162+B174+B186</f>
        <v>1297769726</v>
      </c>
      <c r="C138" s="22">
        <f t="shared" ref="C138:E138" si="13">C139+C150+C162+C174+C186</f>
        <v>227252188</v>
      </c>
      <c r="D138" s="22">
        <f t="shared" si="13"/>
        <v>173277971.14999998</v>
      </c>
      <c r="E138" s="22">
        <f t="shared" si="13"/>
        <v>173277971.14999998</v>
      </c>
      <c r="F138" s="23">
        <f t="shared" si="11"/>
        <v>0.76249198159535425</v>
      </c>
      <c r="G138" s="23">
        <f t="shared" si="12"/>
        <v>0.13351981301342206</v>
      </c>
      <c r="H138" s="47"/>
    </row>
    <row r="139" spans="1:8" ht="27.75" customHeight="1" outlineLevel="2" x14ac:dyDescent="0.25">
      <c r="A139" s="5" t="s">
        <v>28</v>
      </c>
      <c r="B139" s="6">
        <f>SUM(B140:B149)</f>
        <v>44547010</v>
      </c>
      <c r="C139" s="6">
        <v>7622340</v>
      </c>
      <c r="D139" s="6">
        <v>6016698.9400000004</v>
      </c>
      <c r="E139" s="6">
        <v>6016698.9400000004</v>
      </c>
      <c r="F139" s="7">
        <f t="shared" si="11"/>
        <v>0.78935063773067071</v>
      </c>
      <c r="G139" s="7">
        <f t="shared" si="12"/>
        <v>0.13506403549867882</v>
      </c>
    </row>
    <row r="140" spans="1:8" ht="14.25" customHeight="1" outlineLevel="3" x14ac:dyDescent="0.25">
      <c r="A140" s="10" t="s">
        <v>9</v>
      </c>
      <c r="B140" s="11">
        <v>30642200</v>
      </c>
      <c r="C140" s="11">
        <v>5000000</v>
      </c>
      <c r="D140" s="11">
        <v>4908405.84</v>
      </c>
      <c r="E140" s="11">
        <v>4908405.84</v>
      </c>
      <c r="F140" s="14">
        <f t="shared" si="11"/>
        <v>0.98168116799999994</v>
      </c>
      <c r="G140" s="14">
        <f t="shared" si="12"/>
        <v>0.16018451155595878</v>
      </c>
    </row>
    <row r="141" spans="1:8" ht="14.25" customHeight="1" outlineLevel="3" x14ac:dyDescent="0.25">
      <c r="A141" s="10" t="s">
        <v>10</v>
      </c>
      <c r="B141" s="11">
        <v>6741284</v>
      </c>
      <c r="C141" s="11">
        <v>1100000</v>
      </c>
      <c r="D141" s="11">
        <v>1004201.22</v>
      </c>
      <c r="E141" s="11">
        <v>1004201.22</v>
      </c>
      <c r="F141" s="14">
        <f t="shared" si="11"/>
        <v>0.91291020000000001</v>
      </c>
      <c r="G141" s="14">
        <f t="shared" si="12"/>
        <v>0.14896290083610184</v>
      </c>
    </row>
    <row r="142" spans="1:8" ht="14.25" customHeight="1" outlineLevel="3" x14ac:dyDescent="0.25">
      <c r="A142" s="10" t="s">
        <v>11</v>
      </c>
      <c r="B142" s="11">
        <v>700000</v>
      </c>
      <c r="C142" s="11"/>
      <c r="D142" s="11"/>
      <c r="E142" s="11"/>
      <c r="F142" s="14">
        <v>0</v>
      </c>
      <c r="G142" s="14">
        <f t="shared" si="12"/>
        <v>0</v>
      </c>
    </row>
    <row r="143" spans="1:8" ht="14.25" customHeight="1" outlineLevel="3" x14ac:dyDescent="0.25">
      <c r="A143" s="10" t="s">
        <v>29</v>
      </c>
      <c r="B143" s="11">
        <v>33000</v>
      </c>
      <c r="C143" s="11"/>
      <c r="D143" s="11"/>
      <c r="E143" s="11"/>
      <c r="F143" s="14">
        <v>0</v>
      </c>
      <c r="G143" s="14">
        <f t="shared" si="12"/>
        <v>0</v>
      </c>
    </row>
    <row r="144" spans="1:8" ht="14.25" customHeight="1" outlineLevel="3" x14ac:dyDescent="0.25">
      <c r="A144" s="10" t="s">
        <v>12</v>
      </c>
      <c r="B144" s="11">
        <v>2200000</v>
      </c>
      <c r="C144" s="11">
        <v>200000</v>
      </c>
      <c r="D144" s="11">
        <v>28008.02</v>
      </c>
      <c r="E144" s="11">
        <v>28008.02</v>
      </c>
      <c r="F144" s="14">
        <f t="shared" si="11"/>
        <v>0.1400401</v>
      </c>
      <c r="G144" s="14">
        <f t="shared" si="12"/>
        <v>1.2730918181818183E-2</v>
      </c>
    </row>
    <row r="145" spans="1:7" ht="14.25" customHeight="1" outlineLevel="3" x14ac:dyDescent="0.25">
      <c r="A145" s="10" t="s">
        <v>13</v>
      </c>
      <c r="B145" s="11">
        <v>2200000</v>
      </c>
      <c r="C145" s="11">
        <v>900000</v>
      </c>
      <c r="D145" s="11"/>
      <c r="E145" s="11"/>
      <c r="F145" s="14">
        <f t="shared" si="11"/>
        <v>0</v>
      </c>
      <c r="G145" s="14">
        <f t="shared" si="12"/>
        <v>0</v>
      </c>
    </row>
    <row r="146" spans="1:7" ht="14.25" customHeight="1" outlineLevel="3" x14ac:dyDescent="0.25">
      <c r="A146" s="10" t="s">
        <v>14</v>
      </c>
      <c r="B146" s="11">
        <v>130650</v>
      </c>
      <c r="C146" s="11">
        <v>24000</v>
      </c>
      <c r="D146" s="11"/>
      <c r="E146" s="11"/>
      <c r="F146" s="14">
        <f t="shared" si="11"/>
        <v>0</v>
      </c>
      <c r="G146" s="14">
        <f t="shared" si="12"/>
        <v>0</v>
      </c>
    </row>
    <row r="147" spans="1:7" ht="14.25" customHeight="1" outlineLevel="3" x14ac:dyDescent="0.25">
      <c r="A147" s="10" t="s">
        <v>15</v>
      </c>
      <c r="B147" s="11">
        <v>1874440</v>
      </c>
      <c r="C147" s="11">
        <v>393340</v>
      </c>
      <c r="D147" s="11">
        <v>71959.820000000007</v>
      </c>
      <c r="E147" s="11">
        <v>71959.820000000007</v>
      </c>
      <c r="F147" s="14">
        <f t="shared" si="11"/>
        <v>0.18294559414247219</v>
      </c>
      <c r="G147" s="14">
        <f t="shared" si="12"/>
        <v>3.8390036490898616E-2</v>
      </c>
    </row>
    <row r="148" spans="1:7" ht="14.25" customHeight="1" outlineLevel="3" x14ac:dyDescent="0.25">
      <c r="A148" s="10" t="s">
        <v>26</v>
      </c>
      <c r="B148" s="11">
        <v>22436</v>
      </c>
      <c r="C148" s="11">
        <v>5000</v>
      </c>
      <c r="D148" s="11">
        <v>4124.04</v>
      </c>
      <c r="E148" s="11">
        <v>4124.04</v>
      </c>
      <c r="F148" s="14">
        <f t="shared" si="11"/>
        <v>0.82480799999999999</v>
      </c>
      <c r="G148" s="14">
        <f t="shared" si="12"/>
        <v>0.18381351399536458</v>
      </c>
    </row>
    <row r="149" spans="1:7" ht="24.75" customHeight="1" outlineLevel="3" x14ac:dyDescent="0.25">
      <c r="A149" s="10" t="s">
        <v>16</v>
      </c>
      <c r="B149" s="11">
        <v>3000</v>
      </c>
      <c r="C149" s="11"/>
      <c r="D149" s="11"/>
      <c r="E149" s="11"/>
      <c r="F149" s="14">
        <v>0</v>
      </c>
      <c r="G149" s="14">
        <f t="shared" si="12"/>
        <v>0</v>
      </c>
    </row>
    <row r="150" spans="1:7" ht="14.25" customHeight="1" outlineLevel="2" x14ac:dyDescent="0.25">
      <c r="A150" s="5" t="s">
        <v>33</v>
      </c>
      <c r="B150" s="6">
        <v>58818452</v>
      </c>
      <c r="C150" s="6">
        <v>9428747</v>
      </c>
      <c r="D150" s="6">
        <v>8608047.9399999995</v>
      </c>
      <c r="E150" s="6">
        <v>8608047.9399999995</v>
      </c>
      <c r="F150" s="7">
        <f t="shared" si="11"/>
        <v>0.9129577811346512</v>
      </c>
      <c r="G150" s="7">
        <f t="shared" si="12"/>
        <v>0.14634944727889132</v>
      </c>
    </row>
    <row r="151" spans="1:7" ht="13.5" customHeight="1" outlineLevel="3" x14ac:dyDescent="0.25">
      <c r="A151" s="10" t="s">
        <v>9</v>
      </c>
      <c r="B151" s="11">
        <v>38915400</v>
      </c>
      <c r="C151" s="11">
        <v>6300000</v>
      </c>
      <c r="D151" s="11">
        <v>6299754.3600000003</v>
      </c>
      <c r="E151" s="11">
        <v>6299754.3600000003</v>
      </c>
      <c r="F151" s="14">
        <f t="shared" si="11"/>
        <v>0.99996100952380962</v>
      </c>
      <c r="G151" s="14">
        <f t="shared" si="12"/>
        <v>0.1618833253673353</v>
      </c>
    </row>
    <row r="152" spans="1:7" ht="13.5" customHeight="1" outlineLevel="3" x14ac:dyDescent="0.25">
      <c r="A152" s="10" t="s">
        <v>10</v>
      </c>
      <c r="B152" s="11">
        <v>8561388</v>
      </c>
      <c r="C152" s="11">
        <v>1386000</v>
      </c>
      <c r="D152" s="11">
        <v>1372676.03</v>
      </c>
      <c r="E152" s="11">
        <v>1372676.03</v>
      </c>
      <c r="F152" s="14">
        <f t="shared" si="11"/>
        <v>0.99038674603174603</v>
      </c>
      <c r="G152" s="14">
        <f t="shared" si="12"/>
        <v>0.16033335132107085</v>
      </c>
    </row>
    <row r="153" spans="1:7" ht="13.5" customHeight="1" outlineLevel="3" x14ac:dyDescent="0.25">
      <c r="A153" s="10" t="s">
        <v>11</v>
      </c>
      <c r="B153" s="11">
        <v>1300000</v>
      </c>
      <c r="C153" s="11"/>
      <c r="D153" s="11"/>
      <c r="E153" s="11"/>
      <c r="F153" s="14">
        <v>0</v>
      </c>
      <c r="G153" s="14">
        <f t="shared" si="12"/>
        <v>0</v>
      </c>
    </row>
    <row r="154" spans="1:7" ht="13.5" customHeight="1" outlineLevel="3" x14ac:dyDescent="0.25">
      <c r="A154" s="10" t="s">
        <v>29</v>
      </c>
      <c r="B154" s="11">
        <v>43700</v>
      </c>
      <c r="C154" s="11"/>
      <c r="D154" s="11"/>
      <c r="E154" s="11"/>
      <c r="F154" s="14">
        <v>0</v>
      </c>
      <c r="G154" s="14">
        <f t="shared" si="12"/>
        <v>0</v>
      </c>
    </row>
    <row r="155" spans="1:7" ht="13.5" customHeight="1" outlineLevel="3" x14ac:dyDescent="0.25">
      <c r="A155" s="10" t="s">
        <v>34</v>
      </c>
      <c r="B155" s="11">
        <v>953450</v>
      </c>
      <c r="C155" s="11">
        <v>260450</v>
      </c>
      <c r="D155" s="11">
        <v>29450</v>
      </c>
      <c r="E155" s="11">
        <v>29450</v>
      </c>
      <c r="F155" s="14">
        <v>1</v>
      </c>
      <c r="G155" s="14">
        <f t="shared" ref="G155" si="14">D155/B155</f>
        <v>3.0887828412606847E-2</v>
      </c>
    </row>
    <row r="156" spans="1:7" ht="13.5" customHeight="1" outlineLevel="3" x14ac:dyDescent="0.25">
      <c r="A156" s="10" t="s">
        <v>12</v>
      </c>
      <c r="B156" s="11">
        <v>3800000</v>
      </c>
      <c r="C156" s="11">
        <v>240950</v>
      </c>
      <c r="D156" s="11">
        <v>39740.76</v>
      </c>
      <c r="E156" s="11">
        <v>39740.76</v>
      </c>
      <c r="F156" s="14">
        <f t="shared" si="11"/>
        <v>0.16493363768416686</v>
      </c>
      <c r="G156" s="14">
        <f t="shared" si="12"/>
        <v>1.0458094736842106E-2</v>
      </c>
    </row>
    <row r="157" spans="1:7" ht="13.5" customHeight="1" outlineLevel="3" x14ac:dyDescent="0.25">
      <c r="A157" s="10" t="s">
        <v>13</v>
      </c>
      <c r="B157" s="11">
        <v>1909463</v>
      </c>
      <c r="C157" s="11">
        <v>590003</v>
      </c>
      <c r="D157" s="11">
        <v>555218.14</v>
      </c>
      <c r="E157" s="11">
        <v>555218.14</v>
      </c>
      <c r="F157" s="14">
        <f t="shared" si="11"/>
        <v>0.94104290995130535</v>
      </c>
      <c r="G157" s="14">
        <f t="shared" si="12"/>
        <v>0.29077187670041266</v>
      </c>
    </row>
    <row r="158" spans="1:7" ht="13.5" customHeight="1" outlineLevel="3" x14ac:dyDescent="0.25">
      <c r="A158" s="10" t="s">
        <v>14</v>
      </c>
      <c r="B158" s="11">
        <v>413313</v>
      </c>
      <c r="C158" s="11">
        <v>93004</v>
      </c>
      <c r="D158" s="11">
        <v>77267.44</v>
      </c>
      <c r="E158" s="11">
        <v>77267.44</v>
      </c>
      <c r="F158" s="14">
        <f t="shared" si="11"/>
        <v>0.83079695496967876</v>
      </c>
      <c r="G158" s="14">
        <f t="shared" si="12"/>
        <v>0.18694655140293193</v>
      </c>
    </row>
    <row r="159" spans="1:7" ht="13.5" customHeight="1" outlineLevel="3" x14ac:dyDescent="0.25">
      <c r="A159" s="10" t="s">
        <v>15</v>
      </c>
      <c r="B159" s="11">
        <v>2873700</v>
      </c>
      <c r="C159" s="11">
        <v>550000</v>
      </c>
      <c r="D159" s="11">
        <v>230476.82</v>
      </c>
      <c r="E159" s="11">
        <v>230476.82</v>
      </c>
      <c r="F159" s="14">
        <f t="shared" si="11"/>
        <v>0.41904876363636367</v>
      </c>
      <c r="G159" s="14">
        <f t="shared" si="12"/>
        <v>8.0202115739290814E-2</v>
      </c>
    </row>
    <row r="160" spans="1:7" ht="13.5" customHeight="1" outlineLevel="3" x14ac:dyDescent="0.25">
      <c r="A160" s="10" t="s">
        <v>26</v>
      </c>
      <c r="B160" s="11">
        <v>45038</v>
      </c>
      <c r="C160" s="11">
        <v>8340</v>
      </c>
      <c r="D160" s="11">
        <v>3464.39</v>
      </c>
      <c r="E160" s="11">
        <v>3464.39</v>
      </c>
      <c r="F160" s="14">
        <f t="shared" si="11"/>
        <v>0.41539448441247001</v>
      </c>
      <c r="G160" s="14">
        <f t="shared" si="12"/>
        <v>7.6921488520804646E-2</v>
      </c>
    </row>
    <row r="161" spans="1:7" ht="27" customHeight="1" outlineLevel="3" x14ac:dyDescent="0.25">
      <c r="A161" s="10" t="s">
        <v>16</v>
      </c>
      <c r="B161" s="11">
        <v>3000</v>
      </c>
      <c r="C161" s="11"/>
      <c r="D161" s="11"/>
      <c r="E161" s="11"/>
      <c r="F161" s="14">
        <v>0</v>
      </c>
      <c r="G161" s="14">
        <f t="shared" si="12"/>
        <v>0</v>
      </c>
    </row>
    <row r="162" spans="1:7" ht="14.25" customHeight="1" outlineLevel="2" x14ac:dyDescent="0.25">
      <c r="A162" s="5" t="s">
        <v>30</v>
      </c>
      <c r="B162" s="6">
        <v>59798209</v>
      </c>
      <c r="C162" s="6">
        <v>11570608</v>
      </c>
      <c r="D162" s="6">
        <v>8965877.8200000003</v>
      </c>
      <c r="E162" s="6">
        <v>8965877.8200000003</v>
      </c>
      <c r="F162" s="7">
        <f t="shared" si="11"/>
        <v>0.77488389719883344</v>
      </c>
      <c r="G162" s="7">
        <f t="shared" si="12"/>
        <v>0.14993555776896261</v>
      </c>
    </row>
    <row r="163" spans="1:7" ht="14.25" customHeight="1" outlineLevel="3" x14ac:dyDescent="0.25">
      <c r="A163" s="10" t="s">
        <v>9</v>
      </c>
      <c r="B163" s="11">
        <v>35179200</v>
      </c>
      <c r="C163" s="11">
        <v>6303340</v>
      </c>
      <c r="D163" s="11">
        <v>6299418.7400000002</v>
      </c>
      <c r="E163" s="11">
        <v>6299418.7400000002</v>
      </c>
      <c r="F163" s="14">
        <f t="shared" si="11"/>
        <v>0.99937790758550238</v>
      </c>
      <c r="G163" s="14">
        <f t="shared" si="12"/>
        <v>0.17906657172420068</v>
      </c>
    </row>
    <row r="164" spans="1:7" ht="14.25" customHeight="1" outlineLevel="3" x14ac:dyDescent="0.25">
      <c r="A164" s="10" t="s">
        <v>10</v>
      </c>
      <c r="B164" s="11">
        <v>7739424</v>
      </c>
      <c r="C164" s="11">
        <v>1386734</v>
      </c>
      <c r="D164" s="11">
        <v>1382779.19</v>
      </c>
      <c r="E164" s="11">
        <v>1382779.19</v>
      </c>
      <c r="F164" s="14">
        <f t="shared" si="11"/>
        <v>0.99714811203879039</v>
      </c>
      <c r="G164" s="14">
        <f t="shared" si="12"/>
        <v>0.17866693826310587</v>
      </c>
    </row>
    <row r="165" spans="1:7" ht="14.25" customHeight="1" outlineLevel="3" x14ac:dyDescent="0.25">
      <c r="A165" s="10" t="s">
        <v>11</v>
      </c>
      <c r="B165" s="11">
        <v>1227715</v>
      </c>
      <c r="C165" s="11">
        <v>700000</v>
      </c>
      <c r="D165" s="11">
        <v>498698.91</v>
      </c>
      <c r="E165" s="11">
        <v>498698.91</v>
      </c>
      <c r="F165" s="14">
        <v>0</v>
      </c>
      <c r="G165" s="14">
        <f t="shared" si="12"/>
        <v>0.40620087723942444</v>
      </c>
    </row>
    <row r="166" spans="1:7" ht="14.25" customHeight="1" outlineLevel="3" x14ac:dyDescent="0.25">
      <c r="A166" s="10" t="s">
        <v>29</v>
      </c>
      <c r="B166" s="11">
        <v>35213</v>
      </c>
      <c r="C166" s="11"/>
      <c r="D166" s="11"/>
      <c r="E166" s="11"/>
      <c r="F166" s="14">
        <v>0</v>
      </c>
      <c r="G166" s="14">
        <f t="shared" si="12"/>
        <v>0</v>
      </c>
    </row>
    <row r="167" spans="1:7" ht="14.25" customHeight="1" outlineLevel="3" x14ac:dyDescent="0.25">
      <c r="A167" s="10" t="s">
        <v>12</v>
      </c>
      <c r="B167" s="11">
        <v>4506338</v>
      </c>
      <c r="C167" s="11">
        <v>60000</v>
      </c>
      <c r="D167" s="11">
        <v>57526.13</v>
      </c>
      <c r="E167" s="11">
        <v>57526.13</v>
      </c>
      <c r="F167" s="14">
        <f t="shared" si="11"/>
        <v>0.95876883333333329</v>
      </c>
      <c r="G167" s="14">
        <f t="shared" si="12"/>
        <v>1.2765604799284918E-2</v>
      </c>
    </row>
    <row r="168" spans="1:7" ht="14.25" customHeight="1" outlineLevel="3" x14ac:dyDescent="0.25">
      <c r="A168" s="10" t="s">
        <v>13</v>
      </c>
      <c r="B168" s="11">
        <v>6837562</v>
      </c>
      <c r="C168" s="11">
        <v>2401514</v>
      </c>
      <c r="D168" s="11">
        <v>633470.55000000005</v>
      </c>
      <c r="E168" s="11">
        <v>633470.55000000005</v>
      </c>
      <c r="F168" s="14">
        <f t="shared" si="11"/>
        <v>0.26377966149687243</v>
      </c>
      <c r="G168" s="14">
        <f t="shared" si="12"/>
        <v>9.2645675461516849E-2</v>
      </c>
    </row>
    <row r="169" spans="1:7" ht="14.25" customHeight="1" outlineLevel="3" x14ac:dyDescent="0.25">
      <c r="A169" s="10" t="s">
        <v>14</v>
      </c>
      <c r="B169" s="11">
        <v>467219</v>
      </c>
      <c r="C169" s="11">
        <v>87820</v>
      </c>
      <c r="D169" s="11">
        <v>63769.59</v>
      </c>
      <c r="E169" s="11">
        <v>63769.59</v>
      </c>
      <c r="F169" s="14">
        <f t="shared" si="11"/>
        <v>0.72613971760419038</v>
      </c>
      <c r="G169" s="14">
        <f t="shared" si="12"/>
        <v>0.13648757863014988</v>
      </c>
    </row>
    <row r="170" spans="1:7" ht="14.25" customHeight="1" outlineLevel="3" x14ac:dyDescent="0.25">
      <c r="A170" s="10" t="s">
        <v>15</v>
      </c>
      <c r="B170" s="11">
        <v>2297200</v>
      </c>
      <c r="C170" s="11">
        <v>603560</v>
      </c>
      <c r="D170" s="11">
        <v>19083.87</v>
      </c>
      <c r="E170" s="11">
        <v>19083.87</v>
      </c>
      <c r="F170" s="14">
        <f t="shared" si="11"/>
        <v>3.1618844853867054E-2</v>
      </c>
      <c r="G170" s="14">
        <f t="shared" si="12"/>
        <v>8.3074481978060236E-3</v>
      </c>
    </row>
    <row r="171" spans="1:7" ht="14.25" customHeight="1" outlineLevel="3" x14ac:dyDescent="0.25">
      <c r="A171" s="10" t="s">
        <v>26</v>
      </c>
      <c r="B171" s="11">
        <v>147838</v>
      </c>
      <c r="C171" s="11">
        <v>24640</v>
      </c>
      <c r="D171" s="11">
        <v>8130.84</v>
      </c>
      <c r="E171" s="11">
        <v>8130.84</v>
      </c>
      <c r="F171" s="14">
        <f t="shared" si="11"/>
        <v>0.32998538961038959</v>
      </c>
      <c r="G171" s="14">
        <f t="shared" si="12"/>
        <v>5.4998308959807354E-2</v>
      </c>
    </row>
    <row r="172" spans="1:7" ht="14.25" customHeight="1" outlineLevel="3" x14ac:dyDescent="0.25">
      <c r="A172" s="10" t="s">
        <v>16</v>
      </c>
      <c r="B172" s="11">
        <v>3000</v>
      </c>
      <c r="C172" s="11">
        <v>3000</v>
      </c>
      <c r="D172" s="11">
        <v>3000</v>
      </c>
      <c r="E172" s="11">
        <v>3000</v>
      </c>
      <c r="F172" s="14">
        <f t="shared" si="11"/>
        <v>1</v>
      </c>
      <c r="G172" s="14">
        <f t="shared" si="12"/>
        <v>1</v>
      </c>
    </row>
    <row r="173" spans="1:7" ht="14.25" customHeight="1" outlineLevel="3" x14ac:dyDescent="0.25">
      <c r="A173" s="10" t="s">
        <v>56</v>
      </c>
      <c r="B173" s="11">
        <v>1357500</v>
      </c>
      <c r="C173" s="11"/>
      <c r="D173" s="11"/>
      <c r="E173" s="11"/>
      <c r="F173" s="14">
        <v>0</v>
      </c>
      <c r="G173" s="14">
        <f t="shared" si="12"/>
        <v>0</v>
      </c>
    </row>
    <row r="174" spans="1:7" ht="27" customHeight="1" outlineLevel="2" x14ac:dyDescent="0.25">
      <c r="A174" s="5" t="s">
        <v>35</v>
      </c>
      <c r="B174" s="6">
        <v>37960952</v>
      </c>
      <c r="C174" s="6">
        <v>6938500</v>
      </c>
      <c r="D174" s="6">
        <v>5526356.1399999997</v>
      </c>
      <c r="E174" s="6">
        <v>5526356.1399999997</v>
      </c>
      <c r="F174" s="7">
        <f t="shared" si="11"/>
        <v>0.79647706853066225</v>
      </c>
      <c r="G174" s="7">
        <f t="shared" si="12"/>
        <v>0.14558001970024353</v>
      </c>
    </row>
    <row r="175" spans="1:7" ht="13.5" customHeight="1" outlineLevel="3" x14ac:dyDescent="0.25">
      <c r="A175" s="10" t="s">
        <v>9</v>
      </c>
      <c r="B175" s="11">
        <v>23773000</v>
      </c>
      <c r="C175" s="11">
        <v>4500000</v>
      </c>
      <c r="D175" s="11">
        <v>4494572.9000000004</v>
      </c>
      <c r="E175" s="11">
        <v>4494572.9000000004</v>
      </c>
      <c r="F175" s="14">
        <f t="shared" si="11"/>
        <v>0.9987939777777779</v>
      </c>
      <c r="G175" s="14">
        <f t="shared" si="12"/>
        <v>0.18906208303537628</v>
      </c>
    </row>
    <row r="176" spans="1:7" ht="13.5" customHeight="1" outlineLevel="3" x14ac:dyDescent="0.25">
      <c r="A176" s="10" t="s">
        <v>10</v>
      </c>
      <c r="B176" s="11">
        <v>5230060</v>
      </c>
      <c r="C176" s="11">
        <v>990000</v>
      </c>
      <c r="D176" s="11">
        <v>979507.3</v>
      </c>
      <c r="E176" s="11">
        <v>979507.3</v>
      </c>
      <c r="F176" s="14">
        <f t="shared" si="11"/>
        <v>0.98940131313131319</v>
      </c>
      <c r="G176" s="14">
        <f t="shared" si="12"/>
        <v>0.18728414205573168</v>
      </c>
    </row>
    <row r="177" spans="1:7" ht="13.5" customHeight="1" outlineLevel="3" x14ac:dyDescent="0.25">
      <c r="A177" s="10" t="s">
        <v>11</v>
      </c>
      <c r="B177" s="11">
        <v>775580</v>
      </c>
      <c r="C177" s="11"/>
      <c r="D177" s="11"/>
      <c r="E177" s="11"/>
      <c r="F177" s="14">
        <v>0</v>
      </c>
      <c r="G177" s="14">
        <f t="shared" si="12"/>
        <v>0</v>
      </c>
    </row>
    <row r="178" spans="1:7" ht="13.5" customHeight="1" outlineLevel="3" x14ac:dyDescent="0.25">
      <c r="A178" s="10" t="s">
        <v>29</v>
      </c>
      <c r="B178" s="11">
        <v>27117</v>
      </c>
      <c r="C178" s="11"/>
      <c r="D178" s="11"/>
      <c r="E178" s="11"/>
      <c r="F178" s="14">
        <v>0</v>
      </c>
      <c r="G178" s="14">
        <f t="shared" si="12"/>
        <v>0</v>
      </c>
    </row>
    <row r="179" spans="1:7" ht="13.5" customHeight="1" outlineLevel="3" x14ac:dyDescent="0.25">
      <c r="A179" s="10" t="s">
        <v>12</v>
      </c>
      <c r="B179" s="11">
        <v>2846815</v>
      </c>
      <c r="C179" s="11">
        <v>440000</v>
      </c>
      <c r="D179" s="11">
        <v>25939.68</v>
      </c>
      <c r="E179" s="11">
        <v>25939.68</v>
      </c>
      <c r="F179" s="14">
        <f t="shared" si="11"/>
        <v>5.8953818181818184E-2</v>
      </c>
      <c r="G179" s="14">
        <f t="shared" si="12"/>
        <v>9.1118249693078052E-3</v>
      </c>
    </row>
    <row r="180" spans="1:7" ht="13.5" customHeight="1" outlineLevel="3" x14ac:dyDescent="0.25">
      <c r="A180" s="10" t="s">
        <v>13</v>
      </c>
      <c r="B180" s="11">
        <v>2361817</v>
      </c>
      <c r="C180" s="11">
        <v>747963</v>
      </c>
      <c r="D180" s="11"/>
      <c r="E180" s="11"/>
      <c r="F180" s="14">
        <f t="shared" si="11"/>
        <v>0</v>
      </c>
      <c r="G180" s="14">
        <f t="shared" si="12"/>
        <v>0</v>
      </c>
    </row>
    <row r="181" spans="1:7" ht="13.5" customHeight="1" outlineLevel="3" x14ac:dyDescent="0.25">
      <c r="A181" s="10" t="s">
        <v>14</v>
      </c>
      <c r="B181" s="11">
        <v>197588</v>
      </c>
      <c r="C181" s="11">
        <v>29727</v>
      </c>
      <c r="D181" s="11"/>
      <c r="E181" s="11"/>
      <c r="F181" s="14">
        <f t="shared" si="11"/>
        <v>0</v>
      </c>
      <c r="G181" s="14">
        <f t="shared" si="12"/>
        <v>0</v>
      </c>
    </row>
    <row r="182" spans="1:7" ht="13.5" customHeight="1" outlineLevel="3" x14ac:dyDescent="0.25">
      <c r="A182" s="10" t="s">
        <v>15</v>
      </c>
      <c r="B182" s="11">
        <v>1326520</v>
      </c>
      <c r="C182" s="11">
        <v>217210</v>
      </c>
      <c r="D182" s="11">
        <v>15736.26</v>
      </c>
      <c r="E182" s="11">
        <v>15736.26</v>
      </c>
      <c r="F182" s="14">
        <f t="shared" si="11"/>
        <v>7.2447216978960449E-2</v>
      </c>
      <c r="G182" s="14">
        <f t="shared" si="12"/>
        <v>1.1862813979434913E-2</v>
      </c>
    </row>
    <row r="183" spans="1:7" ht="13.5" customHeight="1" outlineLevel="3" x14ac:dyDescent="0.25">
      <c r="A183" s="10" t="s">
        <v>26</v>
      </c>
      <c r="B183" s="11">
        <v>61955</v>
      </c>
      <c r="C183" s="11">
        <v>10600</v>
      </c>
      <c r="D183" s="11">
        <v>10600</v>
      </c>
      <c r="E183" s="11">
        <v>10600</v>
      </c>
      <c r="F183" s="14">
        <f t="shared" si="11"/>
        <v>1</v>
      </c>
      <c r="G183" s="14">
        <f t="shared" si="12"/>
        <v>0.17109192155596803</v>
      </c>
    </row>
    <row r="184" spans="1:7" ht="25.5" customHeight="1" outlineLevel="3" x14ac:dyDescent="0.25">
      <c r="A184" s="10" t="s">
        <v>16</v>
      </c>
      <c r="B184" s="11">
        <v>3000</v>
      </c>
      <c r="C184" s="11">
        <v>3000</v>
      </c>
      <c r="D184" s="11"/>
      <c r="E184" s="11"/>
      <c r="F184" s="14">
        <v>0</v>
      </c>
      <c r="G184" s="14">
        <f t="shared" si="12"/>
        <v>0</v>
      </c>
    </row>
    <row r="185" spans="1:7" ht="14.25" customHeight="1" outlineLevel="3" x14ac:dyDescent="0.25">
      <c r="A185" s="10" t="s">
        <v>56</v>
      </c>
      <c r="B185" s="11">
        <v>1357500</v>
      </c>
      <c r="C185" s="11"/>
      <c r="D185" s="11"/>
      <c r="E185" s="11"/>
      <c r="F185" s="14">
        <v>0</v>
      </c>
      <c r="G185" s="14">
        <f t="shared" si="12"/>
        <v>0</v>
      </c>
    </row>
    <row r="186" spans="1:7" ht="27" customHeight="1" outlineLevel="2" x14ac:dyDescent="0.25">
      <c r="A186" s="5" t="s">
        <v>23</v>
      </c>
      <c r="B186" s="6">
        <f>SUM(B187:B198)</f>
        <v>1096645103</v>
      </c>
      <c r="C186" s="6">
        <f t="shared" ref="C186:E186" si="15">SUM(C187:C198)</f>
        <v>191691993</v>
      </c>
      <c r="D186" s="6">
        <f t="shared" si="15"/>
        <v>144160990.30999997</v>
      </c>
      <c r="E186" s="6">
        <f t="shared" si="15"/>
        <v>144160990.30999997</v>
      </c>
      <c r="F186" s="7">
        <f t="shared" ref="F186:F263" si="16">D186/C186</f>
        <v>0.75204492401516199</v>
      </c>
      <c r="G186" s="7">
        <f t="shared" si="12"/>
        <v>0.13145637537215171</v>
      </c>
    </row>
    <row r="187" spans="1:7" ht="13.5" customHeight="1" outlineLevel="3" x14ac:dyDescent="0.25">
      <c r="A187" s="10" t="s">
        <v>9</v>
      </c>
      <c r="B187" s="11">
        <v>672781519</v>
      </c>
      <c r="C187" s="30">
        <f>131171426-C140-C151-C163-C175</f>
        <v>109068086</v>
      </c>
      <c r="D187" s="11">
        <v>107448237.95999999</v>
      </c>
      <c r="E187" s="11">
        <v>107448237.95999999</v>
      </c>
      <c r="F187" s="14">
        <f t="shared" si="16"/>
        <v>0.98514828581478908</v>
      </c>
      <c r="G187" s="14">
        <f t="shared" si="12"/>
        <v>0.15970747549621678</v>
      </c>
    </row>
    <row r="188" spans="1:7" ht="13.5" customHeight="1" outlineLevel="3" x14ac:dyDescent="0.25">
      <c r="A188" s="10" t="s">
        <v>10</v>
      </c>
      <c r="B188" s="11">
        <v>148011934</v>
      </c>
      <c r="C188" s="30">
        <f>28857713-C141-C152-C164-C176</f>
        <v>23994979</v>
      </c>
      <c r="D188" s="11">
        <v>23053284.219999999</v>
      </c>
      <c r="E188" s="11">
        <v>23053284.219999999</v>
      </c>
      <c r="F188" s="14">
        <f t="shared" si="16"/>
        <v>0.96075450701582188</v>
      </c>
      <c r="G188" s="14">
        <f t="shared" si="12"/>
        <v>0.15575287476481456</v>
      </c>
    </row>
    <row r="189" spans="1:7" ht="13.5" customHeight="1" outlineLevel="3" x14ac:dyDescent="0.25">
      <c r="A189" s="10" t="s">
        <v>11</v>
      </c>
      <c r="B189" s="11">
        <v>26149108</v>
      </c>
      <c r="C189" s="30">
        <f>700000-C142-C153-C165-C177</f>
        <v>0</v>
      </c>
      <c r="D189" s="11"/>
      <c r="E189" s="11"/>
      <c r="F189" s="14">
        <v>0</v>
      </c>
      <c r="G189" s="14">
        <f t="shared" si="12"/>
        <v>0</v>
      </c>
    </row>
    <row r="190" spans="1:7" ht="13.5" customHeight="1" outlineLevel="3" x14ac:dyDescent="0.25">
      <c r="A190" s="10" t="s">
        <v>29</v>
      </c>
      <c r="B190" s="11">
        <v>652970</v>
      </c>
      <c r="C190" s="30"/>
      <c r="D190" s="11"/>
      <c r="E190" s="11"/>
      <c r="F190" s="14">
        <v>0</v>
      </c>
      <c r="G190" s="14">
        <f t="shared" si="12"/>
        <v>0</v>
      </c>
    </row>
    <row r="191" spans="1:7" ht="13.5" customHeight="1" outlineLevel="3" x14ac:dyDescent="0.25">
      <c r="A191" s="10" t="s">
        <v>34</v>
      </c>
      <c r="B191" s="11">
        <v>18915678</v>
      </c>
      <c r="C191" s="30">
        <f>7724588-C155</f>
        <v>7464138</v>
      </c>
      <c r="D191" s="11">
        <v>1270002.06</v>
      </c>
      <c r="E191" s="11">
        <v>1270002.06</v>
      </c>
      <c r="F191" s="14">
        <f t="shared" si="16"/>
        <v>0.17014718377393345</v>
      </c>
      <c r="G191" s="14">
        <f t="shared" si="12"/>
        <v>6.7140181811088134E-2</v>
      </c>
    </row>
    <row r="192" spans="1:7" ht="13.5" customHeight="1" outlineLevel="3" x14ac:dyDescent="0.25">
      <c r="A192" s="10" t="s">
        <v>12</v>
      </c>
      <c r="B192" s="11">
        <v>118237657</v>
      </c>
      <c r="C192" s="30">
        <f>12250412-C144-C156-C167-C179</f>
        <v>11309462</v>
      </c>
      <c r="D192" s="11">
        <v>652337.14</v>
      </c>
      <c r="E192" s="11">
        <v>652337.14</v>
      </c>
      <c r="F192" s="14">
        <f t="shared" si="16"/>
        <v>5.768065182941505E-2</v>
      </c>
      <c r="G192" s="14">
        <f t="shared" si="12"/>
        <v>5.5171690352423001E-3</v>
      </c>
    </row>
    <row r="193" spans="1:7" ht="13.5" customHeight="1" outlineLevel="3" x14ac:dyDescent="0.25">
      <c r="A193" s="10" t="s">
        <v>13</v>
      </c>
      <c r="B193" s="11">
        <v>78095761</v>
      </c>
      <c r="C193" s="30">
        <f>35930534-C145-C157-C168-C180</f>
        <v>31291054</v>
      </c>
      <c r="D193" s="11">
        <v>10460204.039999999</v>
      </c>
      <c r="E193" s="11">
        <v>10460204.039999999</v>
      </c>
      <c r="F193" s="14">
        <f t="shared" si="16"/>
        <v>0.33428736660644282</v>
      </c>
      <c r="G193" s="14">
        <f t="shared" si="12"/>
        <v>0.13394074026629946</v>
      </c>
    </row>
    <row r="194" spans="1:7" ht="13.5" customHeight="1" outlineLevel="3" x14ac:dyDescent="0.25">
      <c r="A194" s="10" t="s">
        <v>14</v>
      </c>
      <c r="B194" s="11">
        <v>5425963</v>
      </c>
      <c r="C194" s="30">
        <f>1288017-C181-C169-C158-C146</f>
        <v>1053466</v>
      </c>
      <c r="D194" s="11">
        <v>885976.99</v>
      </c>
      <c r="E194" s="11">
        <v>885976.99</v>
      </c>
      <c r="F194" s="14">
        <f t="shared" si="16"/>
        <v>0.84101147070717042</v>
      </c>
      <c r="G194" s="14">
        <f t="shared" si="12"/>
        <v>0.1632847459520089</v>
      </c>
    </row>
    <row r="195" spans="1:7" ht="13.5" customHeight="1" outlineLevel="3" x14ac:dyDescent="0.25">
      <c r="A195" s="10" t="s">
        <v>15</v>
      </c>
      <c r="B195" s="11">
        <v>27187250</v>
      </c>
      <c r="C195" s="30">
        <f>8851520-C182-C170-C159-C147</f>
        <v>7087410</v>
      </c>
      <c r="D195" s="11">
        <v>356741.42</v>
      </c>
      <c r="E195" s="11">
        <v>356741.42</v>
      </c>
      <c r="F195" s="14">
        <f t="shared" si="16"/>
        <v>5.0334525588331985E-2</v>
      </c>
      <c r="G195" s="14">
        <f t="shared" si="12"/>
        <v>1.3121644153049682E-2</v>
      </c>
    </row>
    <row r="196" spans="1:7" ht="13.5" customHeight="1" outlineLevel="3" x14ac:dyDescent="0.25">
      <c r="A196" s="10" t="s">
        <v>32</v>
      </c>
      <c r="B196" s="11">
        <v>1500</v>
      </c>
      <c r="C196" s="30">
        <v>430</v>
      </c>
      <c r="D196" s="11"/>
      <c r="E196" s="11"/>
      <c r="F196" s="14">
        <f t="shared" si="16"/>
        <v>0</v>
      </c>
      <c r="G196" s="14">
        <f t="shared" si="12"/>
        <v>0</v>
      </c>
    </row>
    <row r="197" spans="1:7" ht="13.5" customHeight="1" outlineLevel="3" x14ac:dyDescent="0.25">
      <c r="A197" s="10" t="s">
        <v>26</v>
      </c>
      <c r="B197" s="11">
        <v>1047763</v>
      </c>
      <c r="C197" s="30">
        <f>471548-C183-C171-C160-C148</f>
        <v>422968</v>
      </c>
      <c r="D197" s="11">
        <v>34206.480000000003</v>
      </c>
      <c r="E197" s="11">
        <v>34206.480000000003</v>
      </c>
      <c r="F197" s="14">
        <f t="shared" si="16"/>
        <v>8.0872500992982932E-2</v>
      </c>
      <c r="G197" s="14">
        <f t="shared" si="12"/>
        <v>3.2647153984250256E-2</v>
      </c>
    </row>
    <row r="198" spans="1:7" ht="27" customHeight="1" outlineLevel="3" x14ac:dyDescent="0.25">
      <c r="A198" s="10" t="s">
        <v>16</v>
      </c>
      <c r="B198" s="11">
        <v>138000</v>
      </c>
      <c r="C198" s="30">
        <f>6000-C172-C184</f>
        <v>0</v>
      </c>
      <c r="D198" s="11"/>
      <c r="E198" s="11"/>
      <c r="F198" s="14">
        <v>0</v>
      </c>
      <c r="G198" s="14">
        <f t="shared" si="12"/>
        <v>0</v>
      </c>
    </row>
    <row r="199" spans="1:7" s="18" customFormat="1" ht="62.25" customHeight="1" outlineLevel="1" x14ac:dyDescent="0.2">
      <c r="A199" s="28" t="s">
        <v>67</v>
      </c>
      <c r="B199" s="22">
        <v>64716290</v>
      </c>
      <c r="C199" s="33">
        <f>C200</f>
        <v>11040077</v>
      </c>
      <c r="D199" s="33">
        <f t="shared" ref="D199:E199" si="17">D200</f>
        <v>6032205.7600000016</v>
      </c>
      <c r="E199" s="33">
        <f t="shared" si="17"/>
        <v>6032205.7600000016</v>
      </c>
      <c r="F199" s="23">
        <f t="shared" si="16"/>
        <v>0.54639163839165272</v>
      </c>
      <c r="G199" s="23">
        <f t="shared" si="12"/>
        <v>9.32100057033554E-2</v>
      </c>
    </row>
    <row r="200" spans="1:7" ht="26.25" customHeight="1" outlineLevel="2" x14ac:dyDescent="0.25">
      <c r="A200" s="5" t="s">
        <v>23</v>
      </c>
      <c r="B200" s="6">
        <v>64716290</v>
      </c>
      <c r="C200" s="34">
        <f>SUM(C201:C213)</f>
        <v>11040077</v>
      </c>
      <c r="D200" s="34">
        <f t="shared" ref="D200:E200" si="18">SUM(D201:D213)</f>
        <v>6032205.7600000016</v>
      </c>
      <c r="E200" s="34">
        <f t="shared" si="18"/>
        <v>6032205.7600000016</v>
      </c>
      <c r="F200" s="7">
        <f t="shared" si="16"/>
        <v>0.54639163839165272</v>
      </c>
      <c r="G200" s="7">
        <f t="shared" ref="G200:G281" si="19">D200/B200</f>
        <v>9.32100057033554E-2</v>
      </c>
    </row>
    <row r="201" spans="1:7" ht="14.25" customHeight="1" outlineLevel="3" x14ac:dyDescent="0.25">
      <c r="A201" s="10" t="s">
        <v>9</v>
      </c>
      <c r="B201" s="11">
        <v>36926577</v>
      </c>
      <c r="C201" s="30">
        <v>5811341</v>
      </c>
      <c r="D201" s="11">
        <v>4514887.4400000004</v>
      </c>
      <c r="E201" s="11">
        <v>4514887.4400000004</v>
      </c>
      <c r="F201" s="14">
        <f t="shared" si="16"/>
        <v>0.77690974251898148</v>
      </c>
      <c r="G201" s="14">
        <f t="shared" si="19"/>
        <v>0.12226661138940662</v>
      </c>
    </row>
    <row r="202" spans="1:7" ht="14.25" customHeight="1" outlineLevel="3" x14ac:dyDescent="0.25">
      <c r="A202" s="10" t="s">
        <v>10</v>
      </c>
      <c r="B202" s="11">
        <v>8123847</v>
      </c>
      <c r="C202" s="30">
        <v>1278496</v>
      </c>
      <c r="D202" s="11">
        <v>1007195.5</v>
      </c>
      <c r="E202" s="11">
        <v>1007195.5</v>
      </c>
      <c r="F202" s="14">
        <f t="shared" si="16"/>
        <v>0.78779714602157536</v>
      </c>
      <c r="G202" s="14">
        <f t="shared" si="19"/>
        <v>0.12398011680919151</v>
      </c>
    </row>
    <row r="203" spans="1:7" ht="14.25" customHeight="1" outlineLevel="3" x14ac:dyDescent="0.25">
      <c r="A203" s="10" t="s">
        <v>11</v>
      </c>
      <c r="B203" s="11">
        <v>2000000</v>
      </c>
      <c r="C203" s="30"/>
      <c r="D203" s="11"/>
      <c r="E203" s="11"/>
      <c r="F203" s="14">
        <v>0</v>
      </c>
      <c r="G203" s="14">
        <f t="shared" si="19"/>
        <v>0</v>
      </c>
    </row>
    <row r="204" spans="1:7" ht="14.25" customHeight="1" outlineLevel="3" x14ac:dyDescent="0.25">
      <c r="A204" s="10" t="s">
        <v>29</v>
      </c>
      <c r="B204" s="11">
        <v>30000</v>
      </c>
      <c r="C204" s="30"/>
      <c r="D204" s="11"/>
      <c r="E204" s="11"/>
      <c r="F204" s="14">
        <v>0</v>
      </c>
      <c r="G204" s="14">
        <f t="shared" si="19"/>
        <v>0</v>
      </c>
    </row>
    <row r="205" spans="1:7" ht="14.25" customHeight="1" outlineLevel="3" x14ac:dyDescent="0.25">
      <c r="A205" s="10" t="s">
        <v>34</v>
      </c>
      <c r="B205" s="11">
        <v>4187462</v>
      </c>
      <c r="C205" s="30">
        <v>830000</v>
      </c>
      <c r="D205" s="11">
        <v>135351.70000000001</v>
      </c>
      <c r="E205" s="11">
        <v>135351.70000000001</v>
      </c>
      <c r="F205" s="14">
        <f t="shared" si="16"/>
        <v>0.16307433734939761</v>
      </c>
      <c r="G205" s="14">
        <f t="shared" si="19"/>
        <v>3.2323087349807593E-2</v>
      </c>
    </row>
    <row r="206" spans="1:7" ht="14.25" customHeight="1" outlineLevel="3" x14ac:dyDescent="0.25">
      <c r="A206" s="10" t="s">
        <v>12</v>
      </c>
      <c r="B206" s="11">
        <v>3025300</v>
      </c>
      <c r="C206" s="30">
        <v>225300</v>
      </c>
      <c r="D206" s="11">
        <v>20853.04</v>
      </c>
      <c r="E206" s="11">
        <v>20853.04</v>
      </c>
      <c r="F206" s="14">
        <f t="shared" si="16"/>
        <v>9.2556768752774077E-2</v>
      </c>
      <c r="G206" s="14">
        <f t="shared" si="19"/>
        <v>6.8928833504115295E-3</v>
      </c>
    </row>
    <row r="207" spans="1:7" ht="14.25" customHeight="1" outlineLevel="3" x14ac:dyDescent="0.25">
      <c r="A207" s="10" t="s">
        <v>13</v>
      </c>
      <c r="B207" s="11">
        <v>6494319</v>
      </c>
      <c r="C207" s="30">
        <v>2601835</v>
      </c>
      <c r="D207" s="11">
        <v>304103.40999999997</v>
      </c>
      <c r="E207" s="11">
        <v>304103.40999999997</v>
      </c>
      <c r="F207" s="14">
        <f t="shared" si="16"/>
        <v>0.11688035943862696</v>
      </c>
      <c r="G207" s="14">
        <f t="shared" si="19"/>
        <v>4.6826065981667976E-2</v>
      </c>
    </row>
    <row r="208" spans="1:7" ht="14.25" customHeight="1" outlineLevel="3" x14ac:dyDescent="0.25">
      <c r="A208" s="10" t="s">
        <v>14</v>
      </c>
      <c r="B208" s="11">
        <v>285424</v>
      </c>
      <c r="C208" s="30">
        <v>48321</v>
      </c>
      <c r="D208" s="11">
        <v>37020.9</v>
      </c>
      <c r="E208" s="11">
        <v>37020.9</v>
      </c>
      <c r="F208" s="14">
        <f t="shared" si="16"/>
        <v>0.76614515428074748</v>
      </c>
      <c r="G208" s="14">
        <f t="shared" si="19"/>
        <v>0.12970493020909243</v>
      </c>
    </row>
    <row r="209" spans="1:7" ht="14.25" customHeight="1" outlineLevel="3" x14ac:dyDescent="0.25">
      <c r="A209" s="10" t="s">
        <v>15</v>
      </c>
      <c r="B209" s="11">
        <v>1091140</v>
      </c>
      <c r="C209" s="30">
        <v>238000</v>
      </c>
      <c r="D209" s="11">
        <v>10925.54</v>
      </c>
      <c r="E209" s="11">
        <v>10925.54</v>
      </c>
      <c r="F209" s="14">
        <f t="shared" si="16"/>
        <v>4.5905630252100843E-2</v>
      </c>
      <c r="G209" s="14">
        <f t="shared" si="19"/>
        <v>1.0012958923694486E-2</v>
      </c>
    </row>
    <row r="210" spans="1:7" ht="14.25" customHeight="1" outlineLevel="3" x14ac:dyDescent="0.25">
      <c r="A210" s="10" t="s">
        <v>32</v>
      </c>
      <c r="B210" s="11">
        <v>2000</v>
      </c>
      <c r="C210" s="30">
        <v>672</v>
      </c>
      <c r="D210" s="11">
        <v>35.74</v>
      </c>
      <c r="E210" s="11">
        <v>35.74</v>
      </c>
      <c r="F210" s="14">
        <f t="shared" si="16"/>
        <v>5.3184523809523813E-2</v>
      </c>
      <c r="G210" s="14">
        <f t="shared" si="19"/>
        <v>1.787E-2</v>
      </c>
    </row>
    <row r="211" spans="1:7" ht="14.25" customHeight="1" outlineLevel="3" x14ac:dyDescent="0.25">
      <c r="A211" s="10" t="s">
        <v>26</v>
      </c>
      <c r="B211" s="11">
        <v>44221</v>
      </c>
      <c r="C211" s="30">
        <v>6112</v>
      </c>
      <c r="D211" s="11">
        <v>1832.49</v>
      </c>
      <c r="E211" s="11">
        <v>1832.49</v>
      </c>
      <c r="F211" s="14">
        <f t="shared" si="16"/>
        <v>0.299818390052356</v>
      </c>
      <c r="G211" s="14">
        <f t="shared" si="19"/>
        <v>4.1439361389385136E-2</v>
      </c>
    </row>
    <row r="212" spans="1:7" ht="28.5" customHeight="1" outlineLevel="3" x14ac:dyDescent="0.25">
      <c r="A212" s="10" t="s">
        <v>16</v>
      </c>
      <c r="B212" s="11">
        <v>6000</v>
      </c>
      <c r="C212" s="45"/>
      <c r="D212" s="11"/>
      <c r="E212" s="11"/>
      <c r="F212" s="14">
        <v>0</v>
      </c>
      <c r="G212" s="14">
        <f t="shared" si="19"/>
        <v>0</v>
      </c>
    </row>
    <row r="213" spans="1:7" ht="16.5" customHeight="1" outlineLevel="3" x14ac:dyDescent="0.25">
      <c r="A213" s="10" t="s">
        <v>56</v>
      </c>
      <c r="B213" s="11">
        <v>2500000</v>
      </c>
      <c r="C213" s="11"/>
      <c r="D213" s="11"/>
      <c r="E213" s="11"/>
      <c r="F213" s="14">
        <v>0</v>
      </c>
      <c r="G213" s="14">
        <f t="shared" si="19"/>
        <v>0</v>
      </c>
    </row>
    <row r="214" spans="1:7" s="18" customFormat="1" ht="42" customHeight="1" outlineLevel="1" x14ac:dyDescent="0.2">
      <c r="A214" s="28" t="s">
        <v>68</v>
      </c>
      <c r="B214" s="22">
        <f>B215+B226</f>
        <v>94331154</v>
      </c>
      <c r="C214" s="22">
        <f t="shared" ref="C214:E214" si="20">C215+C226</f>
        <v>13540381</v>
      </c>
      <c r="D214" s="22">
        <f t="shared" si="20"/>
        <v>11085576.07</v>
      </c>
      <c r="E214" s="22">
        <f t="shared" si="20"/>
        <v>11085576.07</v>
      </c>
      <c r="F214" s="23">
        <f t="shared" si="16"/>
        <v>0.81870488503979322</v>
      </c>
      <c r="G214" s="23">
        <f t="shared" si="19"/>
        <v>0.11751765561990263</v>
      </c>
    </row>
    <row r="215" spans="1:7" ht="28.5" customHeight="1" outlineLevel="2" x14ac:dyDescent="0.25">
      <c r="A215" s="5" t="s">
        <v>23</v>
      </c>
      <c r="B215" s="6">
        <v>31085605</v>
      </c>
      <c r="C215" s="6">
        <f>SUM(C216:C225)</f>
        <v>4473729</v>
      </c>
      <c r="D215" s="6">
        <f t="shared" ref="D215:E215" si="21">SUM(D216:D225)</f>
        <v>2830377.71</v>
      </c>
      <c r="E215" s="6">
        <f t="shared" si="21"/>
        <v>2830377.71</v>
      </c>
      <c r="F215" s="7">
        <f t="shared" si="16"/>
        <v>0.63266633048179721</v>
      </c>
      <c r="G215" s="7">
        <f t="shared" si="19"/>
        <v>9.1051073640033703E-2</v>
      </c>
    </row>
    <row r="216" spans="1:7" ht="13.5" customHeight="1" outlineLevel="3" x14ac:dyDescent="0.25">
      <c r="A216" s="10" t="s">
        <v>9</v>
      </c>
      <c r="B216" s="11">
        <v>16695100</v>
      </c>
      <c r="C216" s="30">
        <f>8940129-C227</f>
        <v>2613729</v>
      </c>
      <c r="D216" s="11">
        <v>2274444.64</v>
      </c>
      <c r="E216" s="11">
        <v>2274444.64</v>
      </c>
      <c r="F216" s="14">
        <f t="shared" si="16"/>
        <v>0.87019145443158041</v>
      </c>
      <c r="G216" s="14">
        <f t="shared" si="19"/>
        <v>0.13623426274775235</v>
      </c>
    </row>
    <row r="217" spans="1:7" ht="13.5" customHeight="1" outlineLevel="3" x14ac:dyDescent="0.25">
      <c r="A217" s="10" t="s">
        <v>10</v>
      </c>
      <c r="B217" s="11">
        <v>3672922</v>
      </c>
      <c r="C217" s="30">
        <f>1966829-C228</f>
        <v>575021</v>
      </c>
      <c r="D217" s="11">
        <v>539736.25</v>
      </c>
      <c r="E217" s="11">
        <v>539736.25</v>
      </c>
      <c r="F217" s="14">
        <f t="shared" si="16"/>
        <v>0.93863745845803892</v>
      </c>
      <c r="G217" s="14">
        <f t="shared" si="19"/>
        <v>0.14695009858635713</v>
      </c>
    </row>
    <row r="218" spans="1:7" ht="13.5" customHeight="1" outlineLevel="3" x14ac:dyDescent="0.25">
      <c r="A218" s="10" t="s">
        <v>11</v>
      </c>
      <c r="B218" s="11">
        <v>1590000</v>
      </c>
      <c r="C218" s="30">
        <f>300000-C229</f>
        <v>0</v>
      </c>
      <c r="D218" s="11"/>
      <c r="E218" s="11"/>
      <c r="F218" s="14">
        <v>0</v>
      </c>
      <c r="G218" s="14">
        <f t="shared" si="19"/>
        <v>0</v>
      </c>
    </row>
    <row r="219" spans="1:7" ht="13.5" customHeight="1" outlineLevel="3" x14ac:dyDescent="0.25">
      <c r="A219" s="10" t="s">
        <v>29</v>
      </c>
      <c r="B219" s="11">
        <v>15000</v>
      </c>
      <c r="C219" s="30"/>
      <c r="D219" s="11"/>
      <c r="E219" s="11"/>
      <c r="F219" s="14">
        <v>0</v>
      </c>
      <c r="G219" s="14">
        <f t="shared" si="19"/>
        <v>0</v>
      </c>
    </row>
    <row r="220" spans="1:7" ht="13.5" customHeight="1" outlineLevel="3" x14ac:dyDescent="0.25">
      <c r="A220" s="10" t="s">
        <v>12</v>
      </c>
      <c r="B220" s="11">
        <v>6146400</v>
      </c>
      <c r="C220" s="30">
        <f>900000-C231</f>
        <v>300000</v>
      </c>
      <c r="D220" s="11">
        <v>3995</v>
      </c>
      <c r="E220" s="11">
        <v>3995</v>
      </c>
      <c r="F220" s="14">
        <f t="shared" si="16"/>
        <v>1.3316666666666666E-2</v>
      </c>
      <c r="G220" s="14">
        <f t="shared" si="19"/>
        <v>6.4997396850188728E-4</v>
      </c>
    </row>
    <row r="221" spans="1:7" ht="13.5" customHeight="1" outlineLevel="3" x14ac:dyDescent="0.25">
      <c r="A221" s="10" t="s">
        <v>13</v>
      </c>
      <c r="B221" s="11">
        <v>2295071</v>
      </c>
      <c r="C221" s="30">
        <f>1103769-C232</f>
        <v>838510</v>
      </c>
      <c r="D221" s="11"/>
      <c r="E221" s="11"/>
      <c r="F221" s="14">
        <f t="shared" si="16"/>
        <v>0</v>
      </c>
      <c r="G221" s="14">
        <f t="shared" si="19"/>
        <v>0</v>
      </c>
    </row>
    <row r="222" spans="1:7" ht="13.5" customHeight="1" outlineLevel="3" x14ac:dyDescent="0.25">
      <c r="A222" s="10" t="s">
        <v>14</v>
      </c>
      <c r="B222" s="11">
        <v>52570</v>
      </c>
      <c r="C222" s="30">
        <f>26521-C233</f>
        <v>10436</v>
      </c>
      <c r="D222" s="11">
        <v>7328.57</v>
      </c>
      <c r="E222" s="11">
        <v>7328.57</v>
      </c>
      <c r="F222" s="14">
        <f t="shared" si="16"/>
        <v>0.7022393637408969</v>
      </c>
      <c r="G222" s="14">
        <f t="shared" si="19"/>
        <v>0.13940593494388434</v>
      </c>
    </row>
    <row r="223" spans="1:7" ht="13.5" customHeight="1" outlineLevel="3" x14ac:dyDescent="0.25">
      <c r="A223" s="10" t="s">
        <v>15</v>
      </c>
      <c r="B223" s="11">
        <v>590760</v>
      </c>
      <c r="C223" s="30">
        <f>294900-C234</f>
        <v>133000</v>
      </c>
      <c r="D223" s="11">
        <v>4058.81</v>
      </c>
      <c r="E223" s="11">
        <v>4058.81</v>
      </c>
      <c r="F223" s="14">
        <f t="shared" si="16"/>
        <v>3.051736842105263E-2</v>
      </c>
      <c r="G223" s="14">
        <f t="shared" si="19"/>
        <v>6.8704888618051326E-3</v>
      </c>
    </row>
    <row r="224" spans="1:7" ht="13.5" customHeight="1" outlineLevel="3" x14ac:dyDescent="0.25">
      <c r="A224" s="10" t="s">
        <v>26</v>
      </c>
      <c r="B224" s="11">
        <v>24782</v>
      </c>
      <c r="C224" s="30">
        <f>8233-C235</f>
        <v>3033</v>
      </c>
      <c r="D224" s="11">
        <v>814.44</v>
      </c>
      <c r="E224" s="11">
        <v>814.44</v>
      </c>
      <c r="F224" s="14">
        <f t="shared" si="16"/>
        <v>0.26852621167161228</v>
      </c>
      <c r="G224" s="14">
        <f t="shared" si="19"/>
        <v>3.2864175611330808E-2</v>
      </c>
    </row>
    <row r="225" spans="1:8" ht="29.25" customHeight="1" outlineLevel="3" x14ac:dyDescent="0.25">
      <c r="A225" s="10" t="s">
        <v>16</v>
      </c>
      <c r="B225" s="11">
        <v>3000</v>
      </c>
      <c r="C225" s="11"/>
      <c r="D225" s="11"/>
      <c r="E225" s="11"/>
      <c r="F225" s="14">
        <v>0</v>
      </c>
      <c r="G225" s="14">
        <f t="shared" si="19"/>
        <v>0</v>
      </c>
    </row>
    <row r="226" spans="1:8" ht="18" customHeight="1" outlineLevel="2" x14ac:dyDescent="0.25">
      <c r="A226" s="5" t="s">
        <v>36</v>
      </c>
      <c r="B226" s="6">
        <v>63245549</v>
      </c>
      <c r="C226" s="6">
        <f>SUM(C227:C236)</f>
        <v>9066652</v>
      </c>
      <c r="D226" s="6">
        <f t="shared" ref="D226:E226" si="22">SUM(D227:D236)</f>
        <v>8255198.3600000003</v>
      </c>
      <c r="E226" s="6">
        <f t="shared" si="22"/>
        <v>8255198.3600000003</v>
      </c>
      <c r="F226" s="7">
        <f t="shared" si="16"/>
        <v>0.91050129198738416</v>
      </c>
      <c r="G226" s="7">
        <f t="shared" si="19"/>
        <v>0.1305261554453421</v>
      </c>
    </row>
    <row r="227" spans="1:8" ht="13.5" customHeight="1" outlineLevel="3" x14ac:dyDescent="0.25">
      <c r="A227" s="10" t="s">
        <v>9</v>
      </c>
      <c r="B227" s="11">
        <v>43835385</v>
      </c>
      <c r="C227" s="11">
        <v>6326400</v>
      </c>
      <c r="D227" s="11">
        <v>6325272.7000000002</v>
      </c>
      <c r="E227" s="11">
        <v>6325272.7000000002</v>
      </c>
      <c r="F227" s="14">
        <f t="shared" si="16"/>
        <v>0.9998218101922105</v>
      </c>
      <c r="G227" s="14">
        <f t="shared" si="19"/>
        <v>0.1442960453067767</v>
      </c>
    </row>
    <row r="228" spans="1:8" ht="13.5" customHeight="1" outlineLevel="3" x14ac:dyDescent="0.25">
      <c r="A228" s="10" t="s">
        <v>10</v>
      </c>
      <c r="B228" s="11">
        <v>9643785</v>
      </c>
      <c r="C228" s="11">
        <v>1391808</v>
      </c>
      <c r="D228" s="11">
        <v>1383218.76</v>
      </c>
      <c r="E228" s="11">
        <v>1383218.76</v>
      </c>
      <c r="F228" s="14">
        <f t="shared" si="16"/>
        <v>0.99382871775417303</v>
      </c>
      <c r="G228" s="14">
        <f t="shared" si="19"/>
        <v>0.14343110718457536</v>
      </c>
    </row>
    <row r="229" spans="1:8" ht="13.5" customHeight="1" outlineLevel="3" x14ac:dyDescent="0.25">
      <c r="A229" s="10" t="s">
        <v>11</v>
      </c>
      <c r="B229" s="11">
        <v>2600000</v>
      </c>
      <c r="C229" s="11">
        <v>300000</v>
      </c>
      <c r="D229" s="11">
        <v>272397.78999999998</v>
      </c>
      <c r="E229" s="11">
        <v>272397.78999999998</v>
      </c>
      <c r="F229" s="14">
        <v>0</v>
      </c>
      <c r="G229" s="14">
        <f t="shared" si="19"/>
        <v>0.10476838076923076</v>
      </c>
    </row>
    <row r="230" spans="1:8" ht="13.5" customHeight="1" outlineLevel="3" x14ac:dyDescent="0.25">
      <c r="A230" s="10" t="s">
        <v>29</v>
      </c>
      <c r="B230" s="11">
        <v>15000</v>
      </c>
      <c r="C230" s="11"/>
      <c r="D230" s="11"/>
      <c r="E230" s="11"/>
      <c r="F230" s="14">
        <v>0</v>
      </c>
      <c r="G230" s="14">
        <f t="shared" si="19"/>
        <v>0</v>
      </c>
    </row>
    <row r="231" spans="1:8" ht="13.5" customHeight="1" outlineLevel="3" x14ac:dyDescent="0.25">
      <c r="A231" s="10" t="s">
        <v>12</v>
      </c>
      <c r="B231" s="11">
        <v>5353600</v>
      </c>
      <c r="C231" s="11">
        <v>600000</v>
      </c>
      <c r="D231" s="11">
        <v>32250.38</v>
      </c>
      <c r="E231" s="11">
        <v>32250.38</v>
      </c>
      <c r="F231" s="14">
        <f t="shared" si="16"/>
        <v>5.3750633333333332E-2</v>
      </c>
      <c r="G231" s="14">
        <f t="shared" si="19"/>
        <v>6.0240548416019132E-3</v>
      </c>
    </row>
    <row r="232" spans="1:8" ht="13.5" customHeight="1" outlineLevel="3" x14ac:dyDescent="0.25">
      <c r="A232" s="10" t="s">
        <v>13</v>
      </c>
      <c r="B232" s="11">
        <v>708003</v>
      </c>
      <c r="C232" s="11">
        <v>265259</v>
      </c>
      <c r="D232" s="11">
        <v>78242.62</v>
      </c>
      <c r="E232" s="11">
        <v>78242.62</v>
      </c>
      <c r="F232" s="14">
        <f t="shared" si="16"/>
        <v>0.2949668814253239</v>
      </c>
      <c r="G232" s="14">
        <f t="shared" si="19"/>
        <v>0.11051170687129856</v>
      </c>
    </row>
    <row r="233" spans="1:8" ht="13.5" customHeight="1" outlineLevel="3" x14ac:dyDescent="0.25">
      <c r="A233" s="10" t="s">
        <v>14</v>
      </c>
      <c r="B233" s="11">
        <v>95502</v>
      </c>
      <c r="C233" s="11">
        <v>16085</v>
      </c>
      <c r="D233" s="11">
        <v>7547</v>
      </c>
      <c r="E233" s="11">
        <v>7547</v>
      </c>
      <c r="F233" s="14">
        <f t="shared" si="16"/>
        <v>0.46919490208268572</v>
      </c>
      <c r="G233" s="14">
        <f t="shared" si="19"/>
        <v>7.9024523046637762E-2</v>
      </c>
    </row>
    <row r="234" spans="1:8" ht="13.5" customHeight="1" outlineLevel="3" x14ac:dyDescent="0.25">
      <c r="A234" s="10" t="s">
        <v>15</v>
      </c>
      <c r="B234" s="11">
        <v>960000</v>
      </c>
      <c r="C234" s="11">
        <v>161900</v>
      </c>
      <c r="D234" s="11">
        <v>154722.57999999999</v>
      </c>
      <c r="E234" s="11">
        <v>154722.57999999999</v>
      </c>
      <c r="F234" s="14">
        <f t="shared" si="16"/>
        <v>0.95566757257566393</v>
      </c>
      <c r="G234" s="14">
        <f t="shared" si="19"/>
        <v>0.16116935416666664</v>
      </c>
    </row>
    <row r="235" spans="1:8" ht="13.5" customHeight="1" outlineLevel="3" x14ac:dyDescent="0.25">
      <c r="A235" s="10" t="s">
        <v>26</v>
      </c>
      <c r="B235" s="11">
        <v>31274</v>
      </c>
      <c r="C235" s="11">
        <v>5200</v>
      </c>
      <c r="D235" s="11">
        <v>1546.53</v>
      </c>
      <c r="E235" s="11">
        <v>1546.53</v>
      </c>
      <c r="F235" s="14">
        <f t="shared" si="16"/>
        <v>0.29740961538461536</v>
      </c>
      <c r="G235" s="14">
        <f t="shared" si="19"/>
        <v>4.94509816460958E-2</v>
      </c>
    </row>
    <row r="236" spans="1:8" ht="13.5" customHeight="1" outlineLevel="3" x14ac:dyDescent="0.25">
      <c r="A236" s="10" t="s">
        <v>16</v>
      </c>
      <c r="B236" s="11">
        <v>3000</v>
      </c>
      <c r="C236" s="11"/>
      <c r="D236" s="11"/>
      <c r="E236" s="11"/>
      <c r="F236" s="14">
        <v>0</v>
      </c>
      <c r="G236" s="14">
        <f t="shared" si="19"/>
        <v>0</v>
      </c>
    </row>
    <row r="237" spans="1:8" s="18" customFormat="1" ht="26.25" customHeight="1" outlineLevel="1" x14ac:dyDescent="0.2">
      <c r="A237" s="28" t="s">
        <v>69</v>
      </c>
      <c r="B237" s="22">
        <f>B250+B255+B258+B261+B264+B238+B240+B242+B244+B246+B248+B268+B270+B253</f>
        <v>610239300</v>
      </c>
      <c r="C237" s="22">
        <f t="shared" ref="C237:E237" si="23">C250+C255+C258+C261+C264+C238+C240+C242+C244+C246+C248+C268+C270+C253</f>
        <v>139988404</v>
      </c>
      <c r="D237" s="22">
        <f t="shared" si="23"/>
        <v>139988404</v>
      </c>
      <c r="E237" s="22">
        <f t="shared" si="23"/>
        <v>136590034</v>
      </c>
      <c r="F237" s="23">
        <f t="shared" si="16"/>
        <v>1</v>
      </c>
      <c r="G237" s="23">
        <f t="shared" si="19"/>
        <v>0.22939919470935419</v>
      </c>
      <c r="H237" s="47"/>
    </row>
    <row r="238" spans="1:8" s="50" customFormat="1" ht="26.25" customHeight="1" outlineLevel="1" x14ac:dyDescent="0.2">
      <c r="A238" s="5" t="s">
        <v>107</v>
      </c>
      <c r="B238" s="48">
        <v>118096</v>
      </c>
      <c r="C238" s="48">
        <v>118096</v>
      </c>
      <c r="D238" s="48">
        <v>118096</v>
      </c>
      <c r="E238" s="48"/>
      <c r="F238" s="49">
        <f t="shared" ref="F238:F249" si="24">D238/C238</f>
        <v>1</v>
      </c>
      <c r="G238" s="49">
        <f t="shared" ref="G238:G249" si="25">D238/B238</f>
        <v>1</v>
      </c>
    </row>
    <row r="239" spans="1:8" s="57" customFormat="1" ht="26.25" customHeight="1" outlineLevel="1" x14ac:dyDescent="0.2">
      <c r="A239" s="52" t="s">
        <v>37</v>
      </c>
      <c r="B239" s="55">
        <v>118096</v>
      </c>
      <c r="C239" s="55">
        <v>118096</v>
      </c>
      <c r="D239" s="55">
        <v>118096</v>
      </c>
      <c r="E239" s="55"/>
      <c r="F239" s="56">
        <f t="shared" si="24"/>
        <v>1</v>
      </c>
      <c r="G239" s="56">
        <f t="shared" si="25"/>
        <v>1</v>
      </c>
    </row>
    <row r="240" spans="1:8" s="50" customFormat="1" ht="14.25" customHeight="1" outlineLevel="1" x14ac:dyDescent="0.2">
      <c r="A240" s="5" t="s">
        <v>108</v>
      </c>
      <c r="B240" s="48">
        <v>46464</v>
      </c>
      <c r="C240" s="48">
        <v>46464</v>
      </c>
      <c r="D240" s="48">
        <v>46464</v>
      </c>
      <c r="E240" s="48">
        <v>46464</v>
      </c>
      <c r="F240" s="49">
        <f t="shared" si="24"/>
        <v>1</v>
      </c>
      <c r="G240" s="49">
        <f t="shared" si="25"/>
        <v>1</v>
      </c>
    </row>
    <row r="241" spans="1:7" s="57" customFormat="1" ht="26.25" customHeight="1" outlineLevel="1" x14ac:dyDescent="0.2">
      <c r="A241" s="10" t="s">
        <v>37</v>
      </c>
      <c r="B241" s="55">
        <v>46464</v>
      </c>
      <c r="C241" s="55">
        <v>46464</v>
      </c>
      <c r="D241" s="55">
        <v>46464</v>
      </c>
      <c r="E241" s="55">
        <v>46464</v>
      </c>
      <c r="F241" s="56">
        <f t="shared" si="24"/>
        <v>1</v>
      </c>
      <c r="G241" s="56">
        <f t="shared" si="25"/>
        <v>1</v>
      </c>
    </row>
    <row r="242" spans="1:7" s="50" customFormat="1" ht="26.25" customHeight="1" outlineLevel="1" x14ac:dyDescent="0.2">
      <c r="A242" s="5" t="s">
        <v>109</v>
      </c>
      <c r="B242" s="48">
        <v>92928</v>
      </c>
      <c r="C242" s="48">
        <v>92928</v>
      </c>
      <c r="D242" s="48">
        <v>92928</v>
      </c>
      <c r="E242" s="48"/>
      <c r="F242" s="49">
        <f t="shared" si="24"/>
        <v>1</v>
      </c>
      <c r="G242" s="49">
        <f t="shared" si="25"/>
        <v>1</v>
      </c>
    </row>
    <row r="243" spans="1:7" s="57" customFormat="1" ht="26.25" customHeight="1" outlineLevel="1" x14ac:dyDescent="0.2">
      <c r="A243" s="10" t="s">
        <v>37</v>
      </c>
      <c r="B243" s="55">
        <v>92928</v>
      </c>
      <c r="C243" s="55">
        <v>92928</v>
      </c>
      <c r="D243" s="55">
        <v>92928</v>
      </c>
      <c r="E243" s="55"/>
      <c r="F243" s="56">
        <f t="shared" si="24"/>
        <v>1</v>
      </c>
      <c r="G243" s="56">
        <f t="shared" si="25"/>
        <v>1</v>
      </c>
    </row>
    <row r="244" spans="1:7" s="50" customFormat="1" ht="26.25" customHeight="1" outlineLevel="1" x14ac:dyDescent="0.2">
      <c r="A244" s="5" t="s">
        <v>110</v>
      </c>
      <c r="B244" s="48">
        <v>75504</v>
      </c>
      <c r="C244" s="48">
        <v>75504</v>
      </c>
      <c r="D244" s="48">
        <v>75504</v>
      </c>
      <c r="E244" s="48">
        <v>75504</v>
      </c>
      <c r="F244" s="49">
        <f t="shared" si="24"/>
        <v>1</v>
      </c>
      <c r="G244" s="49">
        <f t="shared" si="25"/>
        <v>1</v>
      </c>
    </row>
    <row r="245" spans="1:7" s="57" customFormat="1" ht="26.25" customHeight="1" outlineLevel="1" x14ac:dyDescent="0.2">
      <c r="A245" s="10" t="s">
        <v>37</v>
      </c>
      <c r="B245" s="55">
        <v>75504</v>
      </c>
      <c r="C245" s="55">
        <v>75504</v>
      </c>
      <c r="D245" s="55">
        <v>75504</v>
      </c>
      <c r="E245" s="55">
        <v>75504</v>
      </c>
      <c r="F245" s="56">
        <f t="shared" si="24"/>
        <v>1</v>
      </c>
      <c r="G245" s="56">
        <f t="shared" si="25"/>
        <v>1</v>
      </c>
    </row>
    <row r="246" spans="1:7" s="50" customFormat="1" ht="26.25" customHeight="1" outlineLevel="1" x14ac:dyDescent="0.2">
      <c r="A246" s="5" t="s">
        <v>111</v>
      </c>
      <c r="B246" s="48">
        <v>826567</v>
      </c>
      <c r="C246" s="48">
        <v>826567</v>
      </c>
      <c r="D246" s="48">
        <v>826567</v>
      </c>
      <c r="E246" s="48">
        <v>826567</v>
      </c>
      <c r="F246" s="49">
        <f t="shared" si="24"/>
        <v>1</v>
      </c>
      <c r="G246" s="49">
        <f t="shared" si="25"/>
        <v>1</v>
      </c>
    </row>
    <row r="247" spans="1:7" s="57" customFormat="1" ht="26.25" customHeight="1" outlineLevel="1" x14ac:dyDescent="0.2">
      <c r="A247" s="10" t="s">
        <v>37</v>
      </c>
      <c r="B247" s="55">
        <v>826567</v>
      </c>
      <c r="C247" s="55">
        <v>826567</v>
      </c>
      <c r="D247" s="55">
        <v>826567</v>
      </c>
      <c r="E247" s="55">
        <v>826567</v>
      </c>
      <c r="F247" s="56">
        <f t="shared" si="24"/>
        <v>1</v>
      </c>
      <c r="G247" s="56">
        <f t="shared" si="25"/>
        <v>1</v>
      </c>
    </row>
    <row r="248" spans="1:7" s="50" customFormat="1" ht="26.25" customHeight="1" outlineLevel="1" x14ac:dyDescent="0.2">
      <c r="A248" s="5" t="s">
        <v>112</v>
      </c>
      <c r="B248" s="48">
        <v>3117053</v>
      </c>
      <c r="C248" s="48">
        <v>3117053</v>
      </c>
      <c r="D248" s="48">
        <v>3117053</v>
      </c>
      <c r="E248" s="48"/>
      <c r="F248" s="49">
        <f t="shared" si="24"/>
        <v>1</v>
      </c>
      <c r="G248" s="49">
        <f t="shared" si="25"/>
        <v>1</v>
      </c>
    </row>
    <row r="249" spans="1:7" s="57" customFormat="1" ht="26.25" customHeight="1" outlineLevel="1" x14ac:dyDescent="0.2">
      <c r="A249" s="10" t="s">
        <v>37</v>
      </c>
      <c r="B249" s="55">
        <v>3117053</v>
      </c>
      <c r="C249" s="55">
        <v>3117053</v>
      </c>
      <c r="D249" s="55">
        <v>3117053</v>
      </c>
      <c r="E249" s="55"/>
      <c r="F249" s="56">
        <f t="shared" si="24"/>
        <v>1</v>
      </c>
      <c r="G249" s="56">
        <f t="shared" si="25"/>
        <v>1</v>
      </c>
    </row>
    <row r="250" spans="1:7" ht="28.5" customHeight="1" outlineLevel="2" x14ac:dyDescent="0.25">
      <c r="A250" s="5" t="s">
        <v>28</v>
      </c>
      <c r="B250" s="6">
        <v>23074964</v>
      </c>
      <c r="C250" s="6">
        <v>5232820</v>
      </c>
      <c r="D250" s="6">
        <v>5232820</v>
      </c>
      <c r="E250" s="6">
        <v>5232820</v>
      </c>
      <c r="F250" s="7">
        <f t="shared" si="16"/>
        <v>1</v>
      </c>
      <c r="G250" s="7">
        <f t="shared" si="19"/>
        <v>0.22677478500074799</v>
      </c>
    </row>
    <row r="251" spans="1:7" ht="12.75" customHeight="1" outlineLevel="3" x14ac:dyDescent="0.25">
      <c r="A251" s="10" t="s">
        <v>9</v>
      </c>
      <c r="B251" s="11">
        <v>18913905</v>
      </c>
      <c r="C251" s="11">
        <v>4289197</v>
      </c>
      <c r="D251" s="11">
        <v>4289197</v>
      </c>
      <c r="E251" s="11">
        <v>4289197</v>
      </c>
      <c r="F251" s="14">
        <f t="shared" si="16"/>
        <v>1</v>
      </c>
      <c r="G251" s="14">
        <f t="shared" si="19"/>
        <v>0.22677479875255796</v>
      </c>
    </row>
    <row r="252" spans="1:7" ht="12.75" customHeight="1" outlineLevel="3" x14ac:dyDescent="0.25">
      <c r="A252" s="10" t="s">
        <v>10</v>
      </c>
      <c r="B252" s="11">
        <v>4161059</v>
      </c>
      <c r="C252" s="11">
        <v>943623</v>
      </c>
      <c r="D252" s="11">
        <v>943623</v>
      </c>
      <c r="E252" s="11">
        <v>943623</v>
      </c>
      <c r="F252" s="14">
        <f t="shared" si="16"/>
        <v>1</v>
      </c>
      <c r="G252" s="14">
        <f t="shared" si="19"/>
        <v>0.22677472249251934</v>
      </c>
    </row>
    <row r="253" spans="1:7" s="54" customFormat="1" ht="27.75" customHeight="1" outlineLevel="3" x14ac:dyDescent="0.25">
      <c r="A253" s="8" t="s">
        <v>115</v>
      </c>
      <c r="B253" s="9">
        <v>120032</v>
      </c>
      <c r="C253" s="9">
        <v>120032</v>
      </c>
      <c r="D253" s="9">
        <v>120032</v>
      </c>
      <c r="E253" s="9">
        <v>120032</v>
      </c>
      <c r="F253" s="7">
        <f t="shared" ref="F253:F254" si="26">D253/C253</f>
        <v>1</v>
      </c>
      <c r="G253" s="7">
        <f t="shared" ref="G253:G254" si="27">D253/B253</f>
        <v>1</v>
      </c>
    </row>
    <row r="254" spans="1:7" ht="26.25" customHeight="1" outlineLevel="3" x14ac:dyDescent="0.25">
      <c r="A254" s="10" t="s">
        <v>37</v>
      </c>
      <c r="B254" s="11">
        <v>120032</v>
      </c>
      <c r="C254" s="11">
        <v>120032</v>
      </c>
      <c r="D254" s="11">
        <v>120032</v>
      </c>
      <c r="E254" s="11">
        <v>120032</v>
      </c>
      <c r="F254" s="14">
        <f t="shared" si="26"/>
        <v>1</v>
      </c>
      <c r="G254" s="14">
        <f t="shared" si="27"/>
        <v>1</v>
      </c>
    </row>
    <row r="255" spans="1:7" ht="17.25" customHeight="1" outlineLevel="2" x14ac:dyDescent="0.25">
      <c r="A255" s="5" t="s">
        <v>33</v>
      </c>
      <c r="B255" s="6">
        <v>28492178</v>
      </c>
      <c r="C255" s="6">
        <v>6461307</v>
      </c>
      <c r="D255" s="6">
        <v>6461307</v>
      </c>
      <c r="E255" s="6">
        <v>6461307</v>
      </c>
      <c r="F255" s="7">
        <f t="shared" si="16"/>
        <v>1</v>
      </c>
      <c r="G255" s="7">
        <f t="shared" si="19"/>
        <v>0.22677476604280655</v>
      </c>
    </row>
    <row r="256" spans="1:7" ht="13.5" customHeight="1" outlineLevel="3" x14ac:dyDescent="0.25">
      <c r="A256" s="10" t="s">
        <v>9</v>
      </c>
      <c r="B256" s="11">
        <v>23354244</v>
      </c>
      <c r="C256" s="11">
        <v>5296153</v>
      </c>
      <c r="D256" s="11">
        <v>5296153</v>
      </c>
      <c r="E256" s="11">
        <v>5296153</v>
      </c>
      <c r="F256" s="14">
        <f t="shared" si="16"/>
        <v>1</v>
      </c>
      <c r="G256" s="14">
        <f t="shared" si="19"/>
        <v>0.22677475665664878</v>
      </c>
    </row>
    <row r="257" spans="1:7" ht="13.5" customHeight="1" outlineLevel="3" x14ac:dyDescent="0.25">
      <c r="A257" s="10" t="s">
        <v>10</v>
      </c>
      <c r="B257" s="11">
        <v>5137934</v>
      </c>
      <c r="C257" s="11">
        <v>1165154</v>
      </c>
      <c r="D257" s="11">
        <v>1165154</v>
      </c>
      <c r="E257" s="11">
        <v>1165154</v>
      </c>
      <c r="F257" s="14">
        <f t="shared" si="16"/>
        <v>1</v>
      </c>
      <c r="G257" s="14">
        <f t="shared" si="19"/>
        <v>0.22677480870715738</v>
      </c>
    </row>
    <row r="258" spans="1:7" ht="13.5" customHeight="1" outlineLevel="2" x14ac:dyDescent="0.25">
      <c r="A258" s="5" t="s">
        <v>30</v>
      </c>
      <c r="B258" s="6">
        <v>26498057</v>
      </c>
      <c r="C258" s="6">
        <v>6009091</v>
      </c>
      <c r="D258" s="6">
        <v>6009091</v>
      </c>
      <c r="E258" s="6">
        <v>6009091</v>
      </c>
      <c r="F258" s="7">
        <f t="shared" si="16"/>
        <v>1</v>
      </c>
      <c r="G258" s="7">
        <f t="shared" si="19"/>
        <v>0.22677477824128767</v>
      </c>
    </row>
    <row r="259" spans="1:7" ht="11.25" customHeight="1" outlineLevel="3" x14ac:dyDescent="0.25">
      <c r="A259" s="10" t="s">
        <v>9</v>
      </c>
      <c r="B259" s="11">
        <v>21719719</v>
      </c>
      <c r="C259" s="11">
        <v>4925484</v>
      </c>
      <c r="D259" s="11">
        <v>4925484</v>
      </c>
      <c r="E259" s="11">
        <v>4925484</v>
      </c>
      <c r="F259" s="14">
        <f t="shared" si="16"/>
        <v>1</v>
      </c>
      <c r="G259" s="14">
        <f t="shared" si="19"/>
        <v>0.2267747570767375</v>
      </c>
    </row>
    <row r="260" spans="1:7" ht="11.25" customHeight="1" outlineLevel="3" x14ac:dyDescent="0.25">
      <c r="A260" s="10" t="s">
        <v>10</v>
      </c>
      <c r="B260" s="11">
        <v>4778338</v>
      </c>
      <c r="C260" s="11">
        <v>1083607</v>
      </c>
      <c r="D260" s="11">
        <v>1083607</v>
      </c>
      <c r="E260" s="11">
        <v>1083607</v>
      </c>
      <c r="F260" s="14">
        <f t="shared" si="16"/>
        <v>1</v>
      </c>
      <c r="G260" s="14">
        <f t="shared" si="19"/>
        <v>0.22677487444379196</v>
      </c>
    </row>
    <row r="261" spans="1:7" ht="27" customHeight="1" outlineLevel="2" x14ac:dyDescent="0.25">
      <c r="A261" s="5" t="s">
        <v>35</v>
      </c>
      <c r="B261" s="6">
        <v>17429279</v>
      </c>
      <c r="C261" s="6">
        <v>3952521</v>
      </c>
      <c r="D261" s="6">
        <v>3952521</v>
      </c>
      <c r="E261" s="6">
        <v>3952521</v>
      </c>
      <c r="F261" s="7">
        <f t="shared" si="16"/>
        <v>1</v>
      </c>
      <c r="G261" s="7">
        <f t="shared" si="19"/>
        <v>0.22677478511876481</v>
      </c>
    </row>
    <row r="262" spans="1:7" ht="12.75" customHeight="1" outlineLevel="3" x14ac:dyDescent="0.25">
      <c r="A262" s="10" t="s">
        <v>9</v>
      </c>
      <c r="B262" s="11">
        <v>14286294</v>
      </c>
      <c r="C262" s="11">
        <v>3239771</v>
      </c>
      <c r="D262" s="11">
        <v>3239771</v>
      </c>
      <c r="E262" s="11">
        <v>3239771</v>
      </c>
      <c r="F262" s="14">
        <f t="shared" si="16"/>
        <v>1</v>
      </c>
      <c r="G262" s="14">
        <f t="shared" si="19"/>
        <v>0.22677476747993566</v>
      </c>
    </row>
    <row r="263" spans="1:7" ht="12.75" customHeight="1" outlineLevel="3" x14ac:dyDescent="0.25">
      <c r="A263" s="10" t="s">
        <v>10</v>
      </c>
      <c r="B263" s="11">
        <v>3142985</v>
      </c>
      <c r="C263" s="11">
        <v>712750</v>
      </c>
      <c r="D263" s="11">
        <v>712750</v>
      </c>
      <c r="E263" s="11">
        <v>712750</v>
      </c>
      <c r="F263" s="14">
        <f t="shared" si="16"/>
        <v>1</v>
      </c>
      <c r="G263" s="14">
        <f t="shared" si="19"/>
        <v>0.22677486529525276</v>
      </c>
    </row>
    <row r="264" spans="1:7" ht="27" customHeight="1" outlineLevel="2" x14ac:dyDescent="0.25">
      <c r="A264" s="5" t="s">
        <v>23</v>
      </c>
      <c r="B264" s="6">
        <f>SUM(B265:B267)</f>
        <v>509733890</v>
      </c>
      <c r="C264" s="6">
        <v>113321733</v>
      </c>
      <c r="D264" s="6">
        <v>113321733</v>
      </c>
      <c r="E264" s="6">
        <v>113251440</v>
      </c>
      <c r="F264" s="7">
        <f t="shared" ref="F264:F331" si="28">D264/C264</f>
        <v>1</v>
      </c>
      <c r="G264" s="7">
        <f t="shared" si="19"/>
        <v>0.22231547719928921</v>
      </c>
    </row>
    <row r="265" spans="1:7" ht="12.75" customHeight="1" outlineLevel="3" x14ac:dyDescent="0.25">
      <c r="A265" s="10" t="s">
        <v>9</v>
      </c>
      <c r="B265" s="11">
        <v>407951336</v>
      </c>
      <c r="C265" s="36">
        <v>92829050</v>
      </c>
      <c r="D265" s="11">
        <v>92829050</v>
      </c>
      <c r="E265" s="11">
        <v>92829050</v>
      </c>
      <c r="F265" s="14">
        <f t="shared" si="28"/>
        <v>1</v>
      </c>
      <c r="G265" s="14">
        <f t="shared" si="19"/>
        <v>0.22754932220641141</v>
      </c>
    </row>
    <row r="266" spans="1:7" ht="12.75" customHeight="1" outlineLevel="3" x14ac:dyDescent="0.25">
      <c r="A266" s="10" t="s">
        <v>10</v>
      </c>
      <c r="B266" s="11">
        <v>89749293</v>
      </c>
      <c r="C266" s="36">
        <v>20422390</v>
      </c>
      <c r="D266" s="11">
        <v>20422390</v>
      </c>
      <c r="E266" s="11">
        <v>20422390</v>
      </c>
      <c r="F266" s="14">
        <f t="shared" si="28"/>
        <v>1</v>
      </c>
      <c r="G266" s="14">
        <f t="shared" si="19"/>
        <v>0.22754931339681975</v>
      </c>
    </row>
    <row r="267" spans="1:7" ht="12.75" customHeight="1" outlineLevel="3" x14ac:dyDescent="0.25">
      <c r="A267" s="10" t="s">
        <v>37</v>
      </c>
      <c r="B267" s="11">
        <f>17044193-B271-B269-B254-B249-B247-B245-B243-B241-B239</f>
        <v>12033261</v>
      </c>
      <c r="C267" s="36">
        <v>70293</v>
      </c>
      <c r="D267" s="11">
        <v>70293</v>
      </c>
      <c r="E267" s="11"/>
      <c r="F267" s="14">
        <v>0</v>
      </c>
      <c r="G267" s="14">
        <f t="shared" si="19"/>
        <v>5.8415586597847418E-3</v>
      </c>
    </row>
    <row r="268" spans="1:7" s="54" customFormat="1" ht="12.75" customHeight="1" outlineLevel="3" x14ac:dyDescent="0.25">
      <c r="A268" s="5" t="s">
        <v>113</v>
      </c>
      <c r="B268" s="53">
        <v>412754</v>
      </c>
      <c r="C268" s="53">
        <v>412754</v>
      </c>
      <c r="D268" s="9">
        <v>412754</v>
      </c>
      <c r="E268" s="9">
        <v>412754</v>
      </c>
      <c r="F268" s="16">
        <f t="shared" ref="F268:F271" si="29">D268/C268</f>
        <v>1</v>
      </c>
      <c r="G268" s="16">
        <f t="shared" ref="G268:G271" si="30">D268/B268</f>
        <v>1</v>
      </c>
    </row>
    <row r="269" spans="1:7" ht="12.75" customHeight="1" outlineLevel="3" x14ac:dyDescent="0.25">
      <c r="A269" s="10" t="s">
        <v>37</v>
      </c>
      <c r="B269" s="36">
        <v>412754</v>
      </c>
      <c r="C269" s="36">
        <v>412754</v>
      </c>
      <c r="D269" s="11">
        <v>412754</v>
      </c>
      <c r="E269" s="11">
        <v>412754</v>
      </c>
      <c r="F269" s="14">
        <f t="shared" si="29"/>
        <v>1</v>
      </c>
      <c r="G269" s="14">
        <f t="shared" si="30"/>
        <v>1</v>
      </c>
    </row>
    <row r="270" spans="1:7" s="54" customFormat="1" ht="12.75" customHeight="1" outlineLevel="3" x14ac:dyDescent="0.25">
      <c r="A270" s="5" t="s">
        <v>114</v>
      </c>
      <c r="B270" s="53">
        <v>201534</v>
      </c>
      <c r="C270" s="53">
        <v>201534</v>
      </c>
      <c r="D270" s="9">
        <v>201534</v>
      </c>
      <c r="E270" s="9">
        <v>201534</v>
      </c>
      <c r="F270" s="16">
        <f t="shared" si="29"/>
        <v>1</v>
      </c>
      <c r="G270" s="16">
        <f t="shared" si="30"/>
        <v>1</v>
      </c>
    </row>
    <row r="271" spans="1:7" ht="12.75" customHeight="1" outlineLevel="3" x14ac:dyDescent="0.25">
      <c r="A271" s="10" t="s">
        <v>37</v>
      </c>
      <c r="B271" s="36">
        <v>201534</v>
      </c>
      <c r="C271" s="36">
        <v>201534</v>
      </c>
      <c r="D271" s="11">
        <v>201534</v>
      </c>
      <c r="E271" s="11">
        <v>201534</v>
      </c>
      <c r="F271" s="14">
        <f t="shared" si="29"/>
        <v>1</v>
      </c>
      <c r="G271" s="14">
        <f t="shared" si="30"/>
        <v>1</v>
      </c>
    </row>
    <row r="272" spans="1:7" s="18" customFormat="1" ht="65.25" customHeight="1" outlineLevel="1" x14ac:dyDescent="0.2">
      <c r="A272" s="28" t="s">
        <v>70</v>
      </c>
      <c r="B272" s="22">
        <f>B273</f>
        <v>33481509</v>
      </c>
      <c r="C272" s="22">
        <f t="shared" ref="C272:E272" si="31">C273</f>
        <v>7614520</v>
      </c>
      <c r="D272" s="22">
        <f t="shared" si="31"/>
        <v>7614520</v>
      </c>
      <c r="E272" s="22">
        <f t="shared" si="31"/>
        <v>7614520</v>
      </c>
      <c r="F272" s="23">
        <f t="shared" si="28"/>
        <v>1</v>
      </c>
      <c r="G272" s="23">
        <f t="shared" si="19"/>
        <v>0.22742463608793737</v>
      </c>
    </row>
    <row r="273" spans="1:7" ht="29.25" customHeight="1" outlineLevel="2" x14ac:dyDescent="0.25">
      <c r="A273" s="5" t="s">
        <v>23</v>
      </c>
      <c r="B273" s="6">
        <f>SUM(B274:B275)</f>
        <v>33481509</v>
      </c>
      <c r="C273" s="6">
        <f t="shared" ref="C273:E273" si="32">SUM(C274:C275)</f>
        <v>7614520</v>
      </c>
      <c r="D273" s="6">
        <f t="shared" si="32"/>
        <v>7614520</v>
      </c>
      <c r="E273" s="6">
        <f t="shared" si="32"/>
        <v>7614520</v>
      </c>
      <c r="F273" s="7">
        <f t="shared" si="28"/>
        <v>1</v>
      </c>
      <c r="G273" s="7">
        <f t="shared" si="19"/>
        <v>0.22742463608793737</v>
      </c>
    </row>
    <row r="274" spans="1:7" ht="12" customHeight="1" outlineLevel="3" x14ac:dyDescent="0.25">
      <c r="A274" s="10" t="s">
        <v>9</v>
      </c>
      <c r="B274" s="11">
        <v>27443860</v>
      </c>
      <c r="C274" s="11">
        <v>6241410</v>
      </c>
      <c r="D274" s="11">
        <v>6241410</v>
      </c>
      <c r="E274" s="11">
        <v>6241410</v>
      </c>
      <c r="F274" s="14">
        <f t="shared" si="28"/>
        <v>1</v>
      </c>
      <c r="G274" s="14">
        <f t="shared" si="19"/>
        <v>0.22742464070287488</v>
      </c>
    </row>
    <row r="275" spans="1:7" ht="12" customHeight="1" outlineLevel="3" x14ac:dyDescent="0.25">
      <c r="A275" s="10" t="s">
        <v>10</v>
      </c>
      <c r="B275" s="11">
        <v>6037649</v>
      </c>
      <c r="C275" s="11">
        <v>1373110</v>
      </c>
      <c r="D275" s="11">
        <v>1373110</v>
      </c>
      <c r="E275" s="11">
        <v>1373110</v>
      </c>
      <c r="F275" s="14">
        <f t="shared" si="28"/>
        <v>1</v>
      </c>
      <c r="G275" s="14">
        <f t="shared" si="19"/>
        <v>0.227424615110948</v>
      </c>
    </row>
    <row r="276" spans="1:7" s="18" customFormat="1" ht="37.5" customHeight="1" outlineLevel="1" x14ac:dyDescent="0.2">
      <c r="A276" s="28" t="s">
        <v>71</v>
      </c>
      <c r="B276" s="22">
        <f>B277+B280</f>
        <v>17087832</v>
      </c>
      <c r="C276" s="22">
        <f t="shared" ref="C276:E276" si="33">C277+C280</f>
        <v>3886194</v>
      </c>
      <c r="D276" s="22">
        <f t="shared" si="33"/>
        <v>3886194</v>
      </c>
      <c r="E276" s="22">
        <f t="shared" si="33"/>
        <v>3886194</v>
      </c>
      <c r="F276" s="23">
        <f t="shared" si="28"/>
        <v>1</v>
      </c>
      <c r="G276" s="23">
        <f t="shared" si="19"/>
        <v>0.22742463760177417</v>
      </c>
    </row>
    <row r="277" spans="1:7" ht="29.25" customHeight="1" outlineLevel="2" x14ac:dyDescent="0.25">
      <c r="A277" s="5" t="s">
        <v>23</v>
      </c>
      <c r="B277" s="6">
        <f>SUM(B278:B279)</f>
        <v>10746245</v>
      </c>
      <c r="C277" s="6">
        <f t="shared" ref="C277:E277" si="34">SUM(C278:C279)</f>
        <v>2444027</v>
      </c>
      <c r="D277" s="6">
        <f t="shared" si="34"/>
        <v>2444027</v>
      </c>
      <c r="E277" s="6">
        <f t="shared" si="34"/>
        <v>2444027</v>
      </c>
      <c r="F277" s="7">
        <f t="shared" si="28"/>
        <v>1</v>
      </c>
      <c r="G277" s="7">
        <f t="shared" si="19"/>
        <v>0.22743079094139396</v>
      </c>
    </row>
    <row r="278" spans="1:7" ht="13.5" customHeight="1" outlineLevel="3" x14ac:dyDescent="0.25">
      <c r="A278" s="10" t="s">
        <v>9</v>
      </c>
      <c r="B278" s="11">
        <v>8808397</v>
      </c>
      <c r="C278" s="11">
        <f>3185405-C281</f>
        <v>2003301</v>
      </c>
      <c r="D278" s="11">
        <v>2003301</v>
      </c>
      <c r="E278" s="11">
        <v>2003301</v>
      </c>
      <c r="F278" s="14">
        <f t="shared" si="28"/>
        <v>1</v>
      </c>
      <c r="G278" s="14">
        <f t="shared" si="19"/>
        <v>0.22743082538173517</v>
      </c>
    </row>
    <row r="279" spans="1:7" ht="13.5" customHeight="1" outlineLevel="3" x14ac:dyDescent="0.25">
      <c r="A279" s="10" t="s">
        <v>10</v>
      </c>
      <c r="B279" s="11">
        <v>1937848</v>
      </c>
      <c r="C279" s="11">
        <f>700789-C282</f>
        <v>440726</v>
      </c>
      <c r="D279" s="11">
        <v>440726</v>
      </c>
      <c r="E279" s="11">
        <v>440726</v>
      </c>
      <c r="F279" s="14">
        <f t="shared" si="28"/>
        <v>1</v>
      </c>
      <c r="G279" s="14">
        <f t="shared" si="19"/>
        <v>0.22743063439444167</v>
      </c>
    </row>
    <row r="280" spans="1:7" ht="15.75" customHeight="1" outlineLevel="2" x14ac:dyDescent="0.25">
      <c r="A280" s="5" t="s">
        <v>36</v>
      </c>
      <c r="B280" s="6">
        <f>SUM(B281:B282)</f>
        <v>6341587</v>
      </c>
      <c r="C280" s="6">
        <f t="shared" ref="C280:E280" si="35">SUM(C281:C282)</f>
        <v>1442167</v>
      </c>
      <c r="D280" s="6">
        <f t="shared" si="35"/>
        <v>1442167</v>
      </c>
      <c r="E280" s="6">
        <f t="shared" si="35"/>
        <v>1442167</v>
      </c>
      <c r="F280" s="7">
        <f t="shared" si="28"/>
        <v>1</v>
      </c>
      <c r="G280" s="7">
        <f t="shared" si="19"/>
        <v>0.22741421035460052</v>
      </c>
    </row>
    <row r="281" spans="1:7" ht="14.25" customHeight="1" outlineLevel="3" x14ac:dyDescent="0.25">
      <c r="A281" s="10" t="s">
        <v>9</v>
      </c>
      <c r="B281" s="11">
        <v>5198023</v>
      </c>
      <c r="C281" s="11">
        <v>1182104</v>
      </c>
      <c r="D281" s="11">
        <v>1182104</v>
      </c>
      <c r="E281" s="11">
        <v>1182104</v>
      </c>
      <c r="F281" s="14">
        <f t="shared" si="28"/>
        <v>1</v>
      </c>
      <c r="G281" s="14">
        <f t="shared" si="19"/>
        <v>0.22741415341948276</v>
      </c>
    </row>
    <row r="282" spans="1:7" ht="14.25" customHeight="1" outlineLevel="3" x14ac:dyDescent="0.25">
      <c r="A282" s="10" t="s">
        <v>10</v>
      </c>
      <c r="B282" s="11">
        <v>1143564</v>
      </c>
      <c r="C282" s="11">
        <v>260063</v>
      </c>
      <c r="D282" s="11">
        <v>260063</v>
      </c>
      <c r="E282" s="11">
        <v>260063</v>
      </c>
      <c r="F282" s="14">
        <f t="shared" si="28"/>
        <v>1</v>
      </c>
      <c r="G282" s="14">
        <f t="shared" ref="G282:G345" si="36">D282/B282</f>
        <v>0.22741446915083022</v>
      </c>
    </row>
    <row r="283" spans="1:7" s="18" customFormat="1" ht="27" customHeight="1" outlineLevel="1" x14ac:dyDescent="0.2">
      <c r="A283" s="28" t="s">
        <v>72</v>
      </c>
      <c r="B283" s="22">
        <f>B284+B287+B297+B300+B310</f>
        <v>124761433</v>
      </c>
      <c r="C283" s="22">
        <f t="shared" ref="C283:E283" si="37">C284+C287+C297+C300+C310</f>
        <v>19091039</v>
      </c>
      <c r="D283" s="22">
        <f t="shared" si="37"/>
        <v>16105213.280000001</v>
      </c>
      <c r="E283" s="22">
        <f t="shared" si="37"/>
        <v>16105213.280000001</v>
      </c>
      <c r="F283" s="23">
        <f t="shared" si="28"/>
        <v>0.843600669403064</v>
      </c>
      <c r="G283" s="23">
        <f t="shared" si="36"/>
        <v>0.12908807547922282</v>
      </c>
    </row>
    <row r="284" spans="1:7" ht="27" customHeight="1" outlineLevel="2" x14ac:dyDescent="0.25">
      <c r="A284" s="5" t="s">
        <v>28</v>
      </c>
      <c r="B284" s="6">
        <v>7002312</v>
      </c>
      <c r="C284" s="6">
        <v>1146800</v>
      </c>
      <c r="D284" s="6">
        <v>1144582.46</v>
      </c>
      <c r="E284" s="6">
        <v>1144582.46</v>
      </c>
      <c r="F284" s="7">
        <f t="shared" si="28"/>
        <v>0.99806632368329262</v>
      </c>
      <c r="G284" s="7">
        <f t="shared" si="36"/>
        <v>0.16345779222633897</v>
      </c>
    </row>
    <row r="285" spans="1:7" ht="14.25" customHeight="1" outlineLevel="3" x14ac:dyDescent="0.25">
      <c r="A285" s="10" t="s">
        <v>9</v>
      </c>
      <c r="B285" s="11">
        <v>5739600</v>
      </c>
      <c r="C285" s="11">
        <v>940000</v>
      </c>
      <c r="D285" s="11">
        <v>940000</v>
      </c>
      <c r="E285" s="11">
        <v>940000</v>
      </c>
      <c r="F285" s="14">
        <f t="shared" si="28"/>
        <v>1</v>
      </c>
      <c r="G285" s="14">
        <f t="shared" si="36"/>
        <v>0.16377447905777406</v>
      </c>
    </row>
    <row r="286" spans="1:7" ht="14.25" customHeight="1" outlineLevel="3" x14ac:dyDescent="0.25">
      <c r="A286" s="10" t="s">
        <v>10</v>
      </c>
      <c r="B286" s="11">
        <v>1262712</v>
      </c>
      <c r="C286" s="11">
        <v>206800</v>
      </c>
      <c r="D286" s="11">
        <v>204582.46</v>
      </c>
      <c r="E286" s="11">
        <v>204582.46</v>
      </c>
      <c r="F286" s="14">
        <f t="shared" si="28"/>
        <v>0.98927688588007734</v>
      </c>
      <c r="G286" s="14">
        <f t="shared" si="36"/>
        <v>0.16201830662890668</v>
      </c>
    </row>
    <row r="287" spans="1:7" ht="24" customHeight="1" outlineLevel="2" x14ac:dyDescent="0.25">
      <c r="A287" s="5" t="s">
        <v>38</v>
      </c>
      <c r="B287" s="6">
        <v>19898733</v>
      </c>
      <c r="C287" s="6">
        <v>2940777</v>
      </c>
      <c r="D287" s="6">
        <v>2423720.4500000002</v>
      </c>
      <c r="E287" s="6">
        <v>2423720.4500000002</v>
      </c>
      <c r="F287" s="7">
        <f t="shared" si="28"/>
        <v>0.82417689270556738</v>
      </c>
      <c r="G287" s="7">
        <f t="shared" si="36"/>
        <v>0.12180275246670229</v>
      </c>
    </row>
    <row r="288" spans="1:7" ht="14.25" customHeight="1" outlineLevel="3" x14ac:dyDescent="0.25">
      <c r="A288" s="10" t="s">
        <v>9</v>
      </c>
      <c r="B288" s="11">
        <v>11768700</v>
      </c>
      <c r="C288" s="11">
        <v>1800000</v>
      </c>
      <c r="D288" s="11">
        <v>1769320.49</v>
      </c>
      <c r="E288" s="11">
        <v>1769320.49</v>
      </c>
      <c r="F288" s="14">
        <f t="shared" si="28"/>
        <v>0.98295582777777779</v>
      </c>
      <c r="G288" s="14">
        <f t="shared" si="36"/>
        <v>0.15034120081232422</v>
      </c>
    </row>
    <row r="289" spans="1:7" ht="14.25" customHeight="1" outlineLevel="3" x14ac:dyDescent="0.25">
      <c r="A289" s="10" t="s">
        <v>10</v>
      </c>
      <c r="B289" s="11">
        <v>2589114</v>
      </c>
      <c r="C289" s="11">
        <v>396000</v>
      </c>
      <c r="D289" s="11">
        <v>393392.31</v>
      </c>
      <c r="E289" s="11">
        <v>393392.31</v>
      </c>
      <c r="F289" s="14">
        <f t="shared" si="28"/>
        <v>0.99341492424242428</v>
      </c>
      <c r="G289" s="14">
        <f t="shared" si="36"/>
        <v>0.15194089947371958</v>
      </c>
    </row>
    <row r="290" spans="1:7" ht="14.25" customHeight="1" outlineLevel="3" x14ac:dyDescent="0.25">
      <c r="A290" s="10" t="s">
        <v>11</v>
      </c>
      <c r="B290" s="11">
        <v>974280</v>
      </c>
      <c r="C290" s="11"/>
      <c r="D290" s="11"/>
      <c r="E290" s="11"/>
      <c r="F290" s="14">
        <v>0</v>
      </c>
      <c r="G290" s="14">
        <f t="shared" si="36"/>
        <v>0</v>
      </c>
    </row>
    <row r="291" spans="1:7" ht="14.25" customHeight="1" outlineLevel="3" x14ac:dyDescent="0.25">
      <c r="A291" s="10" t="s">
        <v>12</v>
      </c>
      <c r="B291" s="11">
        <v>2605000</v>
      </c>
      <c r="C291" s="11">
        <v>120000</v>
      </c>
      <c r="D291" s="11">
        <v>49398.16</v>
      </c>
      <c r="E291" s="11">
        <v>49398.16</v>
      </c>
      <c r="F291" s="14">
        <f t="shared" si="28"/>
        <v>0.41165133333333337</v>
      </c>
      <c r="G291" s="14">
        <f t="shared" si="36"/>
        <v>1.8962825335892514E-2</v>
      </c>
    </row>
    <row r="292" spans="1:7" ht="14.25" customHeight="1" outlineLevel="3" x14ac:dyDescent="0.25">
      <c r="A292" s="10" t="s">
        <v>13</v>
      </c>
      <c r="B292" s="11">
        <v>1250683</v>
      </c>
      <c r="C292" s="11">
        <v>504198</v>
      </c>
      <c r="D292" s="11">
        <v>182977.39</v>
      </c>
      <c r="E292" s="11">
        <v>182977.39</v>
      </c>
      <c r="F292" s="14">
        <f t="shared" si="28"/>
        <v>0.36290780606031758</v>
      </c>
      <c r="G292" s="14">
        <f t="shared" si="36"/>
        <v>0.14630197260217018</v>
      </c>
    </row>
    <row r="293" spans="1:7" ht="14.25" customHeight="1" outlineLevel="3" x14ac:dyDescent="0.25">
      <c r="A293" s="10" t="s">
        <v>14</v>
      </c>
      <c r="B293" s="11">
        <v>63983</v>
      </c>
      <c r="C293" s="11">
        <v>11094</v>
      </c>
      <c r="D293" s="11">
        <v>8489.56</v>
      </c>
      <c r="E293" s="11">
        <v>8489.56</v>
      </c>
      <c r="F293" s="14">
        <f t="shared" si="28"/>
        <v>0.76523886785649897</v>
      </c>
      <c r="G293" s="14">
        <f t="shared" si="36"/>
        <v>0.13268461935201536</v>
      </c>
    </row>
    <row r="294" spans="1:7" ht="14.25" customHeight="1" outlineLevel="3" x14ac:dyDescent="0.25">
      <c r="A294" s="10" t="s">
        <v>15</v>
      </c>
      <c r="B294" s="11">
        <v>613973</v>
      </c>
      <c r="C294" s="11">
        <v>104485</v>
      </c>
      <c r="D294" s="11">
        <v>17822.77</v>
      </c>
      <c r="E294" s="11">
        <v>17822.77</v>
      </c>
      <c r="F294" s="14">
        <f t="shared" si="28"/>
        <v>0.17057730774752358</v>
      </c>
      <c r="G294" s="14">
        <f t="shared" si="36"/>
        <v>2.9028589205062762E-2</v>
      </c>
    </row>
    <row r="295" spans="1:7" ht="14.25" customHeight="1" outlineLevel="3" x14ac:dyDescent="0.25">
      <c r="A295" s="10" t="s">
        <v>26</v>
      </c>
      <c r="B295" s="11">
        <v>30000</v>
      </c>
      <c r="C295" s="11">
        <v>5000</v>
      </c>
      <c r="D295" s="11">
        <v>2319.77</v>
      </c>
      <c r="E295" s="11">
        <v>2319.77</v>
      </c>
      <c r="F295" s="14">
        <f t="shared" si="28"/>
        <v>0.46395399999999998</v>
      </c>
      <c r="G295" s="14">
        <f t="shared" si="36"/>
        <v>7.7325666666666668E-2</v>
      </c>
    </row>
    <row r="296" spans="1:7" ht="25.5" customHeight="1" outlineLevel="3" x14ac:dyDescent="0.25">
      <c r="A296" s="10" t="s">
        <v>16</v>
      </c>
      <c r="B296" s="11">
        <v>3000</v>
      </c>
      <c r="C296" s="11"/>
      <c r="D296" s="11"/>
      <c r="E296" s="11"/>
      <c r="F296" s="14">
        <v>0</v>
      </c>
      <c r="G296" s="14">
        <f t="shared" si="36"/>
        <v>0</v>
      </c>
    </row>
    <row r="297" spans="1:7" ht="15" customHeight="1" outlineLevel="2" x14ac:dyDescent="0.25">
      <c r="A297" s="5" t="s">
        <v>30</v>
      </c>
      <c r="B297" s="6">
        <v>7281692</v>
      </c>
      <c r="C297" s="6">
        <v>1122400</v>
      </c>
      <c r="D297" s="6">
        <v>1116001.1599999999</v>
      </c>
      <c r="E297" s="6">
        <v>1116001.1599999999</v>
      </c>
      <c r="F297" s="7">
        <f t="shared" si="28"/>
        <v>0.99429896650035632</v>
      </c>
      <c r="G297" s="7">
        <f t="shared" si="36"/>
        <v>0.15326124203001171</v>
      </c>
    </row>
    <row r="298" spans="1:7" ht="13.5" customHeight="1" outlineLevel="3" x14ac:dyDescent="0.25">
      <c r="A298" s="10" t="s">
        <v>9</v>
      </c>
      <c r="B298" s="11">
        <v>5968600</v>
      </c>
      <c r="C298" s="11">
        <v>920000</v>
      </c>
      <c r="D298" s="11">
        <v>919180.56</v>
      </c>
      <c r="E298" s="11">
        <v>919180.56</v>
      </c>
      <c r="F298" s="14">
        <f t="shared" si="28"/>
        <v>0.99910930434782619</v>
      </c>
      <c r="G298" s="14">
        <f t="shared" si="36"/>
        <v>0.15400270750259692</v>
      </c>
    </row>
    <row r="299" spans="1:7" ht="13.5" customHeight="1" outlineLevel="3" x14ac:dyDescent="0.25">
      <c r="A299" s="10" t="s">
        <v>10</v>
      </c>
      <c r="B299" s="11">
        <v>1313092</v>
      </c>
      <c r="C299" s="11">
        <v>202400</v>
      </c>
      <c r="D299" s="11">
        <v>196820.6</v>
      </c>
      <c r="E299" s="11">
        <v>196820.6</v>
      </c>
      <c r="F299" s="14">
        <f t="shared" si="28"/>
        <v>0.97243379446640321</v>
      </c>
      <c r="G299" s="14">
        <f t="shared" si="36"/>
        <v>0.14989094442735162</v>
      </c>
    </row>
    <row r="300" spans="1:7" ht="26.25" customHeight="1" outlineLevel="2" x14ac:dyDescent="0.25">
      <c r="A300" s="5" t="s">
        <v>23</v>
      </c>
      <c r="B300" s="6">
        <v>47520127</v>
      </c>
      <c r="C300" s="6">
        <f>SUM(C301:C309)</f>
        <v>6580589</v>
      </c>
      <c r="D300" s="6">
        <v>5529934.1399999997</v>
      </c>
      <c r="E300" s="6">
        <v>5529934.1399999997</v>
      </c>
      <c r="F300" s="7">
        <f t="shared" si="28"/>
        <v>0.84034030084541056</v>
      </c>
      <c r="G300" s="7">
        <f t="shared" si="36"/>
        <v>0.11637035692265721</v>
      </c>
    </row>
    <row r="301" spans="1:7" ht="13.5" customHeight="1" outlineLevel="3" x14ac:dyDescent="0.25">
      <c r="A301" s="10" t="s">
        <v>9</v>
      </c>
      <c r="B301" s="11">
        <v>28943677</v>
      </c>
      <c r="C301" s="30">
        <f>12572000-C311-C298-C288-C285</f>
        <v>4272000</v>
      </c>
      <c r="D301" s="11">
        <v>4160423.66</v>
      </c>
      <c r="E301" s="11">
        <v>4160423.66</v>
      </c>
      <c r="F301" s="14">
        <f t="shared" si="28"/>
        <v>0.97388194288389518</v>
      </c>
      <c r="G301" s="14">
        <f t="shared" si="36"/>
        <v>0.14374205668478127</v>
      </c>
    </row>
    <row r="302" spans="1:7" ht="13.5" customHeight="1" outlineLevel="3" x14ac:dyDescent="0.25">
      <c r="A302" s="10" t="s">
        <v>10</v>
      </c>
      <c r="B302" s="11">
        <v>6367609</v>
      </c>
      <c r="C302" s="30">
        <f>2765840-C312-C299-C289-C286</f>
        <v>939840</v>
      </c>
      <c r="D302" s="11">
        <v>934946.49</v>
      </c>
      <c r="E302" s="11">
        <v>934946.49</v>
      </c>
      <c r="F302" s="14">
        <f t="shared" si="28"/>
        <v>0.99479325204290092</v>
      </c>
      <c r="G302" s="14">
        <f t="shared" si="36"/>
        <v>0.14682850187566479</v>
      </c>
    </row>
    <row r="303" spans="1:7" ht="13.5" customHeight="1" outlineLevel="3" x14ac:dyDescent="0.25">
      <c r="A303" s="10" t="s">
        <v>11</v>
      </c>
      <c r="B303" s="11">
        <v>4001720</v>
      </c>
      <c r="C303" s="30">
        <f>800000-C313</f>
        <v>0</v>
      </c>
      <c r="D303" s="11"/>
      <c r="E303" s="11"/>
      <c r="F303" s="14">
        <v>0</v>
      </c>
      <c r="G303" s="14">
        <f t="shared" si="36"/>
        <v>0</v>
      </c>
    </row>
    <row r="304" spans="1:7" ht="13.5" customHeight="1" outlineLevel="3" x14ac:dyDescent="0.25">
      <c r="A304" s="10" t="s">
        <v>12</v>
      </c>
      <c r="B304" s="11">
        <v>4795000</v>
      </c>
      <c r="C304" s="30">
        <f>970000-C291-C314</f>
        <v>200000</v>
      </c>
      <c r="D304" s="11">
        <v>7330</v>
      </c>
      <c r="E304" s="11">
        <v>7330</v>
      </c>
      <c r="F304" s="14">
        <f t="shared" si="28"/>
        <v>3.6650000000000002E-2</v>
      </c>
      <c r="G304" s="14">
        <f t="shared" si="36"/>
        <v>1.5286757038581857E-3</v>
      </c>
    </row>
    <row r="305" spans="1:7" ht="13.5" customHeight="1" outlineLevel="3" x14ac:dyDescent="0.25">
      <c r="A305" s="10" t="s">
        <v>13</v>
      </c>
      <c r="B305" s="11">
        <v>2761908</v>
      </c>
      <c r="C305" s="30">
        <f>1641852-C292-C315</f>
        <v>1028911</v>
      </c>
      <c r="D305" s="11">
        <v>413676.74</v>
      </c>
      <c r="E305" s="11">
        <v>413676.74</v>
      </c>
      <c r="F305" s="14">
        <f t="shared" si="28"/>
        <v>0.40205298611833284</v>
      </c>
      <c r="G305" s="14">
        <f t="shared" si="36"/>
        <v>0.14977933370698807</v>
      </c>
    </row>
    <row r="306" spans="1:7" ht="13.5" customHeight="1" outlineLevel="3" x14ac:dyDescent="0.25">
      <c r="A306" s="10" t="s">
        <v>14</v>
      </c>
      <c r="B306" s="11">
        <v>105910</v>
      </c>
      <c r="C306" s="30">
        <f>42813-C293-C316</f>
        <v>21933</v>
      </c>
      <c r="D306" s="11">
        <v>6420.83</v>
      </c>
      <c r="E306" s="11">
        <v>6420.83</v>
      </c>
      <c r="F306" s="14">
        <f t="shared" si="28"/>
        <v>0.29274745816805725</v>
      </c>
      <c r="G306" s="14">
        <f t="shared" si="36"/>
        <v>6.0625342271740157E-2</v>
      </c>
    </row>
    <row r="307" spans="1:7" ht="13.5" customHeight="1" outlineLevel="3" x14ac:dyDescent="0.25">
      <c r="A307" s="10" t="s">
        <v>15</v>
      </c>
      <c r="B307" s="11">
        <v>463360</v>
      </c>
      <c r="C307" s="30">
        <f>281305-C294-C317</f>
        <v>110020</v>
      </c>
      <c r="D307" s="11">
        <v>5914.76</v>
      </c>
      <c r="E307" s="11">
        <v>5914.76</v>
      </c>
      <c r="F307" s="14">
        <f t="shared" si="28"/>
        <v>5.3760770768951104E-2</v>
      </c>
      <c r="G307" s="14">
        <f t="shared" si="36"/>
        <v>1.2764934392265195E-2</v>
      </c>
    </row>
    <row r="308" spans="1:7" ht="13.5" customHeight="1" outlineLevel="3" x14ac:dyDescent="0.25">
      <c r="A308" s="10" t="s">
        <v>26</v>
      </c>
      <c r="B308" s="11">
        <v>68943</v>
      </c>
      <c r="C308" s="30">
        <f>17229-C295-C318</f>
        <v>7885</v>
      </c>
      <c r="D308" s="11">
        <v>1221.6600000000001</v>
      </c>
      <c r="E308" s="11">
        <v>1221.6600000000001</v>
      </c>
      <c r="F308" s="14">
        <f t="shared" si="28"/>
        <v>0.15493468611287256</v>
      </c>
      <c r="G308" s="14">
        <f t="shared" si="36"/>
        <v>1.771985553283147E-2</v>
      </c>
    </row>
    <row r="309" spans="1:7" ht="26.25" customHeight="1" outlineLevel="3" x14ac:dyDescent="0.25">
      <c r="A309" s="10" t="s">
        <v>16</v>
      </c>
      <c r="B309" s="11">
        <v>12000</v>
      </c>
      <c r="C309" s="11"/>
      <c r="D309" s="11"/>
      <c r="E309" s="11"/>
      <c r="F309" s="14">
        <v>0</v>
      </c>
      <c r="G309" s="14">
        <f t="shared" si="36"/>
        <v>0</v>
      </c>
    </row>
    <row r="310" spans="1:7" ht="18.75" customHeight="1" outlineLevel="2" x14ac:dyDescent="0.25">
      <c r="A310" s="5" t="s">
        <v>36</v>
      </c>
      <c r="B310" s="6">
        <v>43058569</v>
      </c>
      <c r="C310" s="6">
        <v>7300473</v>
      </c>
      <c r="D310" s="6">
        <v>5890975.0700000003</v>
      </c>
      <c r="E310" s="6">
        <v>5890975.0700000003</v>
      </c>
      <c r="F310" s="7">
        <f t="shared" si="28"/>
        <v>0.80693060161992247</v>
      </c>
      <c r="G310" s="7">
        <f t="shared" si="36"/>
        <v>0.13681307128437084</v>
      </c>
    </row>
    <row r="311" spans="1:7" ht="12.75" customHeight="1" outlineLevel="3" x14ac:dyDescent="0.25">
      <c r="A311" s="10" t="s">
        <v>9</v>
      </c>
      <c r="B311" s="11">
        <v>29997100</v>
      </c>
      <c r="C311" s="11">
        <v>4640000</v>
      </c>
      <c r="D311" s="11">
        <v>4622853.4000000004</v>
      </c>
      <c r="E311" s="11">
        <v>4622853.4000000004</v>
      </c>
      <c r="F311" s="14">
        <f t="shared" si="28"/>
        <v>0.99630461206896559</v>
      </c>
      <c r="G311" s="14">
        <f t="shared" si="36"/>
        <v>0.15411001063436133</v>
      </c>
    </row>
    <row r="312" spans="1:7" ht="12.75" customHeight="1" outlineLevel="3" x14ac:dyDescent="0.25">
      <c r="A312" s="10" t="s">
        <v>10</v>
      </c>
      <c r="B312" s="11">
        <v>6599362</v>
      </c>
      <c r="C312" s="11">
        <v>1020800</v>
      </c>
      <c r="D312" s="11">
        <v>1014367.5</v>
      </c>
      <c r="E312" s="11">
        <v>1014367.5</v>
      </c>
      <c r="F312" s="14">
        <f t="shared" si="28"/>
        <v>0.99369856974921633</v>
      </c>
      <c r="G312" s="14">
        <f t="shared" si="36"/>
        <v>0.15370690378857835</v>
      </c>
    </row>
    <row r="313" spans="1:7" ht="12.75" customHeight="1" outlineLevel="3" x14ac:dyDescent="0.25">
      <c r="A313" s="10" t="s">
        <v>11</v>
      </c>
      <c r="B313" s="11">
        <v>2000000</v>
      </c>
      <c r="C313" s="11">
        <v>800000</v>
      </c>
      <c r="D313" s="11">
        <v>140559.6</v>
      </c>
      <c r="E313" s="11">
        <v>140559.6</v>
      </c>
      <c r="F313" s="14">
        <f t="shared" si="28"/>
        <v>0.17569950000000001</v>
      </c>
      <c r="G313" s="14">
        <f t="shared" si="36"/>
        <v>7.0279800000000003E-2</v>
      </c>
    </row>
    <row r="314" spans="1:7" ht="12.75" customHeight="1" outlineLevel="3" x14ac:dyDescent="0.25">
      <c r="A314" s="10" t="s">
        <v>12</v>
      </c>
      <c r="B314" s="11">
        <v>3600000</v>
      </c>
      <c r="C314" s="11">
        <v>650000</v>
      </c>
      <c r="D314" s="11">
        <v>9257.4</v>
      </c>
      <c r="E314" s="11">
        <v>9257.4</v>
      </c>
      <c r="F314" s="14">
        <f t="shared" si="28"/>
        <v>1.4242153846153845E-2</v>
      </c>
      <c r="G314" s="14">
        <f t="shared" si="36"/>
        <v>2.5715E-3</v>
      </c>
    </row>
    <row r="315" spans="1:7" ht="12.75" customHeight="1" outlineLevel="3" x14ac:dyDescent="0.25">
      <c r="A315" s="10" t="s">
        <v>13</v>
      </c>
      <c r="B315" s="11">
        <v>364729</v>
      </c>
      <c r="C315" s="11">
        <v>108743</v>
      </c>
      <c r="D315" s="11">
        <v>33538.07</v>
      </c>
      <c r="E315" s="11">
        <v>33538.07</v>
      </c>
      <c r="F315" s="14">
        <f t="shared" si="28"/>
        <v>0.30841589803481601</v>
      </c>
      <c r="G315" s="14">
        <f t="shared" si="36"/>
        <v>9.1953395534766905E-2</v>
      </c>
    </row>
    <row r="316" spans="1:7" ht="12.75" customHeight="1" outlineLevel="3" x14ac:dyDescent="0.25">
      <c r="A316" s="10" t="s">
        <v>14</v>
      </c>
      <c r="B316" s="11">
        <v>64483</v>
      </c>
      <c r="C316" s="11">
        <v>9786</v>
      </c>
      <c r="D316" s="11">
        <v>5031.8100000000004</v>
      </c>
      <c r="E316" s="11">
        <v>5031.8100000000004</v>
      </c>
      <c r="F316" s="14">
        <f t="shared" si="28"/>
        <v>0.51418454935622326</v>
      </c>
      <c r="G316" s="14">
        <f t="shared" si="36"/>
        <v>7.8033125009692478E-2</v>
      </c>
    </row>
    <row r="317" spans="1:7" ht="12.75" customHeight="1" outlineLevel="3" x14ac:dyDescent="0.25">
      <c r="A317" s="10" t="s">
        <v>15</v>
      </c>
      <c r="B317" s="11">
        <v>403830</v>
      </c>
      <c r="C317" s="11">
        <v>66800</v>
      </c>
      <c r="D317" s="11">
        <v>64594.05</v>
      </c>
      <c r="E317" s="11">
        <v>64594.05</v>
      </c>
      <c r="F317" s="14">
        <f t="shared" si="28"/>
        <v>0.9669767964071857</v>
      </c>
      <c r="G317" s="14">
        <f t="shared" si="36"/>
        <v>0.15995356957135429</v>
      </c>
    </row>
    <row r="318" spans="1:7" ht="12.75" customHeight="1" outlineLevel="3" x14ac:dyDescent="0.25">
      <c r="A318" s="10" t="s">
        <v>26</v>
      </c>
      <c r="B318" s="11">
        <v>26065</v>
      </c>
      <c r="C318" s="11">
        <v>4344</v>
      </c>
      <c r="D318" s="11">
        <v>773.24</v>
      </c>
      <c r="E318" s="11">
        <v>773.24</v>
      </c>
      <c r="F318" s="14">
        <f t="shared" si="28"/>
        <v>0.17800184162062616</v>
      </c>
      <c r="G318" s="14">
        <f t="shared" si="36"/>
        <v>2.966583541147132E-2</v>
      </c>
    </row>
    <row r="319" spans="1:7" ht="24.75" customHeight="1" outlineLevel="3" x14ac:dyDescent="0.25">
      <c r="A319" s="10" t="s">
        <v>16</v>
      </c>
      <c r="B319" s="11">
        <v>3000</v>
      </c>
      <c r="C319" s="11"/>
      <c r="D319" s="11"/>
      <c r="E319" s="11"/>
      <c r="F319" s="14">
        <v>0</v>
      </c>
      <c r="G319" s="14">
        <f t="shared" si="36"/>
        <v>0</v>
      </c>
    </row>
    <row r="320" spans="1:7" s="18" customFormat="1" ht="24" customHeight="1" outlineLevel="1" x14ac:dyDescent="0.2">
      <c r="A320" s="28" t="s">
        <v>73</v>
      </c>
      <c r="B320" s="22">
        <f>B321+B331</f>
        <v>182328710</v>
      </c>
      <c r="C320" s="22">
        <f t="shared" ref="C320:E320" si="38">C321+C331</f>
        <v>27947182</v>
      </c>
      <c r="D320" s="22">
        <f t="shared" si="38"/>
        <v>26688969.77</v>
      </c>
      <c r="E320" s="22">
        <f t="shared" si="38"/>
        <v>26688969.77</v>
      </c>
      <c r="F320" s="23">
        <f t="shared" si="28"/>
        <v>0.95497892309857935</v>
      </c>
      <c r="G320" s="23">
        <f t="shared" si="36"/>
        <v>0.14637831732588905</v>
      </c>
    </row>
    <row r="321" spans="1:7" ht="26.25" customHeight="1" outlineLevel="2" x14ac:dyDescent="0.25">
      <c r="A321" s="5" t="s">
        <v>25</v>
      </c>
      <c r="B321" s="6">
        <f>SUM(B322:B330)</f>
        <v>135891697</v>
      </c>
      <c r="C321" s="6">
        <f>SUM(C322:C330)</f>
        <v>20649784</v>
      </c>
      <c r="D321" s="6">
        <v>19821322.800000001</v>
      </c>
      <c r="E321" s="6">
        <v>19821322.800000001</v>
      </c>
      <c r="F321" s="7">
        <f t="shared" si="28"/>
        <v>0.95988039390629953</v>
      </c>
      <c r="G321" s="7">
        <f t="shared" si="36"/>
        <v>0.14586117649263</v>
      </c>
    </row>
    <row r="322" spans="1:7" ht="12.75" customHeight="1" outlineLevel="3" x14ac:dyDescent="0.25">
      <c r="A322" s="10" t="s">
        <v>9</v>
      </c>
      <c r="B322" s="11">
        <v>101772123</v>
      </c>
      <c r="C322" s="30">
        <f>21520000-C332</f>
        <v>15950000</v>
      </c>
      <c r="D322" s="11">
        <v>15888132.4</v>
      </c>
      <c r="E322" s="11">
        <v>15888132.4</v>
      </c>
      <c r="F322" s="14">
        <f t="shared" si="28"/>
        <v>0.99612115360501574</v>
      </c>
      <c r="G322" s="14">
        <f t="shared" si="36"/>
        <v>0.15611477811070129</v>
      </c>
    </row>
    <row r="323" spans="1:7" ht="12.75" customHeight="1" outlineLevel="3" x14ac:dyDescent="0.25">
      <c r="A323" s="10" t="s">
        <v>10</v>
      </c>
      <c r="B323" s="11">
        <v>22389867</v>
      </c>
      <c r="C323" s="30">
        <f>4734400-C333</f>
        <v>3509000</v>
      </c>
      <c r="D323" s="11">
        <v>3477853.25</v>
      </c>
      <c r="E323" s="11">
        <v>3477853.25</v>
      </c>
      <c r="F323" s="14">
        <f t="shared" si="28"/>
        <v>0.99112375320604162</v>
      </c>
      <c r="G323" s="14">
        <f t="shared" si="36"/>
        <v>0.15533157253680874</v>
      </c>
    </row>
    <row r="324" spans="1:7" ht="12.75" customHeight="1" outlineLevel="3" x14ac:dyDescent="0.25">
      <c r="A324" s="10" t="s">
        <v>11</v>
      </c>
      <c r="B324" s="11">
        <v>1900000</v>
      </c>
      <c r="C324" s="30">
        <f>30000-C334</f>
        <v>0</v>
      </c>
      <c r="D324" s="11"/>
      <c r="E324" s="11"/>
      <c r="F324" s="14">
        <v>0</v>
      </c>
      <c r="G324" s="14">
        <f t="shared" si="36"/>
        <v>0</v>
      </c>
    </row>
    <row r="325" spans="1:7" ht="12.75" customHeight="1" outlineLevel="3" x14ac:dyDescent="0.25">
      <c r="A325" s="10" t="s">
        <v>12</v>
      </c>
      <c r="B325" s="11">
        <v>5760684</v>
      </c>
      <c r="C325" s="30">
        <f>175000-C335</f>
        <v>75000</v>
      </c>
      <c r="D325" s="11">
        <v>40683.699999999997</v>
      </c>
      <c r="E325" s="11">
        <v>40683.699999999997</v>
      </c>
      <c r="F325" s="14">
        <f t="shared" si="28"/>
        <v>0.54244933333333334</v>
      </c>
      <c r="G325" s="14">
        <f t="shared" si="36"/>
        <v>7.0623037125452457E-3</v>
      </c>
    </row>
    <row r="326" spans="1:7" ht="12.75" customHeight="1" outlineLevel="3" x14ac:dyDescent="0.25">
      <c r="A326" s="10" t="s">
        <v>13</v>
      </c>
      <c r="B326" s="11">
        <v>2820823</v>
      </c>
      <c r="C326" s="30">
        <f>1234641-C336</f>
        <v>949591.57000000007</v>
      </c>
      <c r="D326" s="11">
        <v>355783.47</v>
      </c>
      <c r="E326" s="11">
        <v>355783.47</v>
      </c>
      <c r="F326" s="14">
        <f t="shared" si="28"/>
        <v>0.37466999628061143</v>
      </c>
      <c r="G326" s="14">
        <f t="shared" si="36"/>
        <v>0.12612754150118599</v>
      </c>
    </row>
    <row r="327" spans="1:7" ht="12.75" customHeight="1" outlineLevel="3" x14ac:dyDescent="0.25">
      <c r="A327" s="10" t="s">
        <v>14</v>
      </c>
      <c r="B327" s="11">
        <v>109000</v>
      </c>
      <c r="C327" s="30">
        <f>30812-C337</f>
        <v>19144.43</v>
      </c>
      <c r="D327" s="11">
        <v>19144.43</v>
      </c>
      <c r="E327" s="11">
        <v>19144.43</v>
      </c>
      <c r="F327" s="14">
        <f t="shared" si="28"/>
        <v>1</v>
      </c>
      <c r="G327" s="14">
        <f t="shared" si="36"/>
        <v>0.17563697247706422</v>
      </c>
    </row>
    <row r="328" spans="1:7" ht="12.75" customHeight="1" outlineLevel="3" x14ac:dyDescent="0.25">
      <c r="A328" s="10" t="s">
        <v>15</v>
      </c>
      <c r="B328" s="11">
        <v>619700</v>
      </c>
      <c r="C328" s="30">
        <f>215833-C338</f>
        <v>143800</v>
      </c>
      <c r="D328" s="11">
        <v>39725.550000000003</v>
      </c>
      <c r="E328" s="11">
        <v>39725.550000000003</v>
      </c>
      <c r="F328" s="14">
        <f t="shared" si="28"/>
        <v>0.27625556328233658</v>
      </c>
      <c r="G328" s="14">
        <f t="shared" si="36"/>
        <v>6.4104486041633046E-2</v>
      </c>
    </row>
    <row r="329" spans="1:7" ht="12.75" customHeight="1" outlineLevel="3" x14ac:dyDescent="0.25">
      <c r="A329" s="10" t="s">
        <v>26</v>
      </c>
      <c r="B329" s="11">
        <v>19500</v>
      </c>
      <c r="C329" s="30">
        <f>6496-C339</f>
        <v>3248</v>
      </c>
      <c r="D329" s="11"/>
      <c r="E329" s="11"/>
      <c r="F329" s="14">
        <f t="shared" si="28"/>
        <v>0</v>
      </c>
      <c r="G329" s="14">
        <f t="shared" si="36"/>
        <v>0</v>
      </c>
    </row>
    <row r="330" spans="1:7" ht="12.75" customHeight="1" outlineLevel="3" x14ac:dyDescent="0.25">
      <c r="A330" s="10" t="s">
        <v>56</v>
      </c>
      <c r="B330" s="11">
        <v>500000</v>
      </c>
      <c r="C330" s="11"/>
      <c r="D330" s="11"/>
      <c r="E330" s="11"/>
      <c r="F330" s="14">
        <v>0</v>
      </c>
      <c r="G330" s="14">
        <f t="shared" si="36"/>
        <v>0</v>
      </c>
    </row>
    <row r="331" spans="1:7" ht="29.25" customHeight="1" outlineLevel="2" x14ac:dyDescent="0.25">
      <c r="A331" s="5" t="s">
        <v>39</v>
      </c>
      <c r="B331" s="6">
        <v>46437013</v>
      </c>
      <c r="C331" s="6">
        <v>7297398</v>
      </c>
      <c r="D331" s="6">
        <v>6867646.9699999997</v>
      </c>
      <c r="E331" s="6">
        <v>6867646.9699999997</v>
      </c>
      <c r="F331" s="7">
        <f t="shared" si="28"/>
        <v>0.94110900488091775</v>
      </c>
      <c r="G331" s="7">
        <f t="shared" si="36"/>
        <v>0.14789166068885609</v>
      </c>
    </row>
    <row r="332" spans="1:7" ht="12.75" customHeight="1" outlineLevel="3" x14ac:dyDescent="0.25">
      <c r="A332" s="10" t="s">
        <v>9</v>
      </c>
      <c r="B332" s="11">
        <v>35539000</v>
      </c>
      <c r="C332" s="11">
        <v>5570000</v>
      </c>
      <c r="D332" s="11">
        <v>5555458.9699999997</v>
      </c>
      <c r="E332" s="11">
        <v>5555458.9699999997</v>
      </c>
      <c r="F332" s="14">
        <f t="shared" ref="F332:F357" si="39">D332/C332</f>
        <v>0.99738940215439853</v>
      </c>
      <c r="G332" s="14">
        <f t="shared" si="36"/>
        <v>0.1563200700638735</v>
      </c>
    </row>
    <row r="333" spans="1:7" ht="12.75" customHeight="1" outlineLevel="3" x14ac:dyDescent="0.25">
      <c r="A333" s="10" t="s">
        <v>10</v>
      </c>
      <c r="B333" s="11">
        <v>7818580</v>
      </c>
      <c r="C333" s="11">
        <v>1225400</v>
      </c>
      <c r="D333" s="11">
        <v>1212431.03</v>
      </c>
      <c r="E333" s="11">
        <v>1212431.03</v>
      </c>
      <c r="F333" s="14">
        <f t="shared" si="39"/>
        <v>0.98941654153745717</v>
      </c>
      <c r="G333" s="14">
        <f t="shared" si="36"/>
        <v>0.15507048978203203</v>
      </c>
    </row>
    <row r="334" spans="1:7" ht="12.75" customHeight="1" outlineLevel="3" x14ac:dyDescent="0.25">
      <c r="A334" s="10" t="s">
        <v>11</v>
      </c>
      <c r="B334" s="11">
        <v>300000</v>
      </c>
      <c r="C334" s="11">
        <v>30000</v>
      </c>
      <c r="D334" s="11"/>
      <c r="E334" s="11"/>
      <c r="F334" s="14">
        <v>0</v>
      </c>
      <c r="G334" s="14">
        <f t="shared" si="36"/>
        <v>0</v>
      </c>
    </row>
    <row r="335" spans="1:7" ht="12.75" customHeight="1" outlineLevel="3" x14ac:dyDescent="0.25">
      <c r="A335" s="10" t="s">
        <v>12</v>
      </c>
      <c r="B335" s="11">
        <v>1600000</v>
      </c>
      <c r="C335" s="11">
        <v>100000</v>
      </c>
      <c r="D335" s="11">
        <v>12564.99</v>
      </c>
      <c r="E335" s="11">
        <v>12564.99</v>
      </c>
      <c r="F335" s="14">
        <f t="shared" si="39"/>
        <v>0.12564990000000001</v>
      </c>
      <c r="G335" s="14">
        <f t="shared" si="36"/>
        <v>7.8531187500000006E-3</v>
      </c>
    </row>
    <row r="336" spans="1:7" ht="12.75" customHeight="1" outlineLevel="3" x14ac:dyDescent="0.25">
      <c r="A336" s="10" t="s">
        <v>13</v>
      </c>
      <c r="B336" s="11">
        <v>778323</v>
      </c>
      <c r="C336" s="11">
        <v>285049.43</v>
      </c>
      <c r="D336" s="11">
        <v>42892.1</v>
      </c>
      <c r="E336" s="11">
        <v>42892.1</v>
      </c>
      <c r="F336" s="14">
        <f t="shared" si="39"/>
        <v>0.15047249875223395</v>
      </c>
      <c r="G336" s="14">
        <f t="shared" si="36"/>
        <v>5.5108354757600633E-2</v>
      </c>
    </row>
    <row r="337" spans="1:7" ht="12.75" customHeight="1" outlineLevel="3" x14ac:dyDescent="0.25">
      <c r="A337" s="10" t="s">
        <v>14</v>
      </c>
      <c r="B337" s="11">
        <v>73110</v>
      </c>
      <c r="C337" s="11">
        <v>11667.57</v>
      </c>
      <c r="D337" s="11">
        <v>11667.57</v>
      </c>
      <c r="E337" s="11">
        <v>11667.57</v>
      </c>
      <c r="F337" s="14">
        <f t="shared" si="39"/>
        <v>1</v>
      </c>
      <c r="G337" s="14">
        <f t="shared" si="36"/>
        <v>0.15958924907673369</v>
      </c>
    </row>
    <row r="338" spans="1:7" ht="12.75" customHeight="1" outlineLevel="3" x14ac:dyDescent="0.25">
      <c r="A338" s="10" t="s">
        <v>15</v>
      </c>
      <c r="B338" s="11">
        <v>308500</v>
      </c>
      <c r="C338" s="11">
        <v>72033</v>
      </c>
      <c r="D338" s="11">
        <v>32427.61</v>
      </c>
      <c r="E338" s="11">
        <v>32427.61</v>
      </c>
      <c r="F338" s="14">
        <f t="shared" si="39"/>
        <v>0.45017714103258227</v>
      </c>
      <c r="G338" s="14">
        <f t="shared" si="36"/>
        <v>0.10511380875202593</v>
      </c>
    </row>
    <row r="339" spans="1:7" ht="12.75" customHeight="1" outlineLevel="3" x14ac:dyDescent="0.25">
      <c r="A339" s="10" t="s">
        <v>26</v>
      </c>
      <c r="B339" s="11">
        <v>19500</v>
      </c>
      <c r="C339" s="11">
        <v>3248</v>
      </c>
      <c r="D339" s="11">
        <v>204.7</v>
      </c>
      <c r="E339" s="11">
        <v>204.7</v>
      </c>
      <c r="F339" s="14">
        <f t="shared" si="39"/>
        <v>6.3023399014778325E-2</v>
      </c>
      <c r="G339" s="14">
        <f t="shared" si="36"/>
        <v>1.0497435897435898E-2</v>
      </c>
    </row>
    <row r="340" spans="1:7" s="18" customFormat="1" ht="23.25" customHeight="1" outlineLevel="1" x14ac:dyDescent="0.2">
      <c r="A340" s="28" t="s">
        <v>74</v>
      </c>
      <c r="B340" s="22">
        <v>62760224</v>
      </c>
      <c r="C340" s="22">
        <f>C341</f>
        <v>9542649</v>
      </c>
      <c r="D340" s="22">
        <f t="shared" ref="D340:E340" si="40">D341</f>
        <v>8255499.8699999992</v>
      </c>
      <c r="E340" s="22">
        <f t="shared" si="40"/>
        <v>8255499.8699999992</v>
      </c>
      <c r="F340" s="23">
        <f t="shared" si="39"/>
        <v>0.86511616114141887</v>
      </c>
      <c r="G340" s="23">
        <f t="shared" si="36"/>
        <v>0.13154031875348307</v>
      </c>
    </row>
    <row r="341" spans="1:7" ht="28.5" customHeight="1" outlineLevel="2" x14ac:dyDescent="0.25">
      <c r="A341" s="5" t="s">
        <v>23</v>
      </c>
      <c r="B341" s="6">
        <f>SUM(B342:B351)</f>
        <v>62877874</v>
      </c>
      <c r="C341" s="6">
        <f>SUM(C342:C351)</f>
        <v>9542649</v>
      </c>
      <c r="D341" s="6">
        <f t="shared" ref="D341:E341" si="41">SUM(D342:D351)</f>
        <v>8255499.8699999992</v>
      </c>
      <c r="E341" s="6">
        <f t="shared" si="41"/>
        <v>8255499.8699999992</v>
      </c>
      <c r="F341" s="7">
        <f t="shared" si="39"/>
        <v>0.86511616114141887</v>
      </c>
      <c r="G341" s="7">
        <f t="shared" si="36"/>
        <v>0.13129419531582762</v>
      </c>
    </row>
    <row r="342" spans="1:7" ht="13.5" customHeight="1" outlineLevel="3" x14ac:dyDescent="0.25">
      <c r="A342" s="10" t="s">
        <v>9</v>
      </c>
      <c r="B342" s="11">
        <v>43771578</v>
      </c>
      <c r="C342" s="30">
        <v>7000000</v>
      </c>
      <c r="D342" s="11">
        <v>6627467.0199999996</v>
      </c>
      <c r="E342" s="11">
        <v>6627467.0199999996</v>
      </c>
      <c r="F342" s="14">
        <f t="shared" si="39"/>
        <v>0.94678100285714284</v>
      </c>
      <c r="G342" s="14">
        <f t="shared" si="36"/>
        <v>0.15141028317507765</v>
      </c>
    </row>
    <row r="343" spans="1:7" ht="13.5" customHeight="1" outlineLevel="3" x14ac:dyDescent="0.25">
      <c r="A343" s="10" t="s">
        <v>10</v>
      </c>
      <c r="B343" s="11">
        <v>9629747</v>
      </c>
      <c r="C343" s="30">
        <v>1540000</v>
      </c>
      <c r="D343" s="11">
        <v>1446509.2</v>
      </c>
      <c r="E343" s="11">
        <v>1446509.2</v>
      </c>
      <c r="F343" s="14">
        <f t="shared" si="39"/>
        <v>0.9392916883116883</v>
      </c>
      <c r="G343" s="14">
        <f t="shared" si="36"/>
        <v>0.15021258606274909</v>
      </c>
    </row>
    <row r="344" spans="1:7" ht="13.5" customHeight="1" outlineLevel="3" x14ac:dyDescent="0.25">
      <c r="A344" s="10" t="s">
        <v>11</v>
      </c>
      <c r="B344" s="11">
        <v>805430</v>
      </c>
      <c r="C344" s="30"/>
      <c r="D344" s="11"/>
      <c r="E344" s="11"/>
      <c r="F344" s="14">
        <v>0</v>
      </c>
      <c r="G344" s="14">
        <f t="shared" si="36"/>
        <v>0</v>
      </c>
    </row>
    <row r="345" spans="1:7" ht="13.5" customHeight="1" outlineLevel="3" x14ac:dyDescent="0.25">
      <c r="A345" s="10" t="s">
        <v>12</v>
      </c>
      <c r="B345" s="11">
        <v>6900000</v>
      </c>
      <c r="C345" s="30">
        <v>600000</v>
      </c>
      <c r="D345" s="11">
        <v>161423.51999999999</v>
      </c>
      <c r="E345" s="11">
        <v>161423.51999999999</v>
      </c>
      <c r="F345" s="14">
        <f t="shared" si="39"/>
        <v>0.26903919999999998</v>
      </c>
      <c r="G345" s="14">
        <f t="shared" si="36"/>
        <v>2.339471304347826E-2</v>
      </c>
    </row>
    <row r="346" spans="1:7" ht="13.5" customHeight="1" outlineLevel="3" x14ac:dyDescent="0.25">
      <c r="A346" s="10" t="s">
        <v>13</v>
      </c>
      <c r="B346" s="11">
        <v>761088</v>
      </c>
      <c r="C346" s="30">
        <v>247002</v>
      </c>
      <c r="D346" s="11"/>
      <c r="E346" s="11"/>
      <c r="F346" s="14">
        <f t="shared" si="39"/>
        <v>0</v>
      </c>
      <c r="G346" s="14">
        <f t="shared" ref="G346:G412" si="42">D346/B346</f>
        <v>0</v>
      </c>
    </row>
    <row r="347" spans="1:7" ht="13.5" customHeight="1" outlineLevel="3" x14ac:dyDescent="0.25">
      <c r="A347" s="10" t="s">
        <v>14</v>
      </c>
      <c r="B347" s="11">
        <v>101851</v>
      </c>
      <c r="C347" s="30">
        <v>16813</v>
      </c>
      <c r="D347" s="11">
        <v>8315.18</v>
      </c>
      <c r="E347" s="11">
        <v>8315.18</v>
      </c>
      <c r="F347" s="14">
        <f t="shared" si="39"/>
        <v>0.49456848866948194</v>
      </c>
      <c r="G347" s="14">
        <f t="shared" si="42"/>
        <v>8.1640631903466834E-2</v>
      </c>
    </row>
    <row r="348" spans="1:7" ht="13.5" customHeight="1" outlineLevel="3" x14ac:dyDescent="0.25">
      <c r="A348" s="10" t="s">
        <v>15</v>
      </c>
      <c r="B348" s="11">
        <v>744290</v>
      </c>
      <c r="C348" s="30">
        <v>134600</v>
      </c>
      <c r="D348" s="11">
        <v>10156.07</v>
      </c>
      <c r="E348" s="11">
        <v>10156.07</v>
      </c>
      <c r="F348" s="14">
        <f t="shared" si="39"/>
        <v>7.5453714710252598E-2</v>
      </c>
      <c r="G348" s="14">
        <f t="shared" si="42"/>
        <v>1.3645312982842708E-2</v>
      </c>
    </row>
    <row r="349" spans="1:7" ht="13.5" customHeight="1" outlineLevel="3" x14ac:dyDescent="0.25">
      <c r="A349" s="10" t="s">
        <v>26</v>
      </c>
      <c r="B349" s="11">
        <v>40240</v>
      </c>
      <c r="C349" s="30">
        <v>4234</v>
      </c>
      <c r="D349" s="11">
        <v>1628.88</v>
      </c>
      <c r="E349" s="11">
        <v>1628.88</v>
      </c>
      <c r="F349" s="14">
        <f t="shared" si="39"/>
        <v>0.38471421823334911</v>
      </c>
      <c r="G349" s="14">
        <f t="shared" si="42"/>
        <v>4.0479125248508947E-2</v>
      </c>
    </row>
    <row r="350" spans="1:7" ht="27" customHeight="1" outlineLevel="3" x14ac:dyDescent="0.25">
      <c r="A350" s="10" t="s">
        <v>16</v>
      </c>
      <c r="B350" s="11">
        <v>6000</v>
      </c>
      <c r="C350" s="11"/>
      <c r="D350" s="11"/>
      <c r="E350" s="11"/>
      <c r="F350" s="14">
        <v>0</v>
      </c>
      <c r="G350" s="14">
        <f t="shared" si="42"/>
        <v>0</v>
      </c>
    </row>
    <row r="351" spans="1:7" ht="16.5" customHeight="1" outlineLevel="1" x14ac:dyDescent="0.25">
      <c r="A351" s="28" t="s">
        <v>75</v>
      </c>
      <c r="B351" s="22">
        <v>117650</v>
      </c>
      <c r="C351" s="22"/>
      <c r="D351" s="22"/>
      <c r="E351" s="22"/>
      <c r="F351" s="23">
        <v>0</v>
      </c>
      <c r="G351" s="23">
        <f t="shared" si="42"/>
        <v>0</v>
      </c>
    </row>
    <row r="352" spans="1:7" ht="29.25" customHeight="1" outlineLevel="2" x14ac:dyDescent="0.25">
      <c r="A352" s="5" t="s">
        <v>23</v>
      </c>
      <c r="B352" s="6">
        <v>117650</v>
      </c>
      <c r="C352" s="6"/>
      <c r="D352" s="6"/>
      <c r="E352" s="6"/>
      <c r="F352" s="7">
        <v>0</v>
      </c>
      <c r="G352" s="7">
        <f t="shared" si="42"/>
        <v>0</v>
      </c>
    </row>
    <row r="353" spans="1:7" ht="18.75" customHeight="1" outlineLevel="3" x14ac:dyDescent="0.25">
      <c r="A353" s="10" t="s">
        <v>40</v>
      </c>
      <c r="B353" s="11">
        <v>117650</v>
      </c>
      <c r="C353" s="11"/>
      <c r="D353" s="11"/>
      <c r="E353" s="11"/>
      <c r="F353" s="14">
        <v>0</v>
      </c>
      <c r="G353" s="14">
        <f t="shared" si="42"/>
        <v>0</v>
      </c>
    </row>
    <row r="354" spans="1:7" ht="30" customHeight="1" outlineLevel="1" x14ac:dyDescent="0.25">
      <c r="A354" s="28" t="s">
        <v>76</v>
      </c>
      <c r="B354" s="22">
        <f>B355+B364</f>
        <v>10470123</v>
      </c>
      <c r="C354" s="22">
        <f t="shared" ref="C354:E354" si="43">C355+C364</f>
        <v>1958036</v>
      </c>
      <c r="D354" s="22">
        <f t="shared" si="43"/>
        <v>1160457.79</v>
      </c>
      <c r="E354" s="22">
        <f t="shared" si="43"/>
        <v>1160457.79</v>
      </c>
      <c r="F354" s="23">
        <f t="shared" si="39"/>
        <v>0.59266417471384591</v>
      </c>
      <c r="G354" s="23">
        <f t="shared" si="42"/>
        <v>0.11083516306350938</v>
      </c>
    </row>
    <row r="355" spans="1:7" ht="15.75" customHeight="1" outlineLevel="2" x14ac:dyDescent="0.25">
      <c r="A355" s="5" t="s">
        <v>41</v>
      </c>
      <c r="B355" s="6">
        <v>4557928</v>
      </c>
      <c r="C355" s="6">
        <v>672216</v>
      </c>
      <c r="D355" s="6">
        <v>454032.46</v>
      </c>
      <c r="E355" s="6">
        <v>454032.46</v>
      </c>
      <c r="F355" s="7">
        <f t="shared" si="39"/>
        <v>0.67542644031085253</v>
      </c>
      <c r="G355" s="7">
        <f t="shared" si="42"/>
        <v>9.9613785035656557E-2</v>
      </c>
    </row>
    <row r="356" spans="1:7" ht="12.75" customHeight="1" outlineLevel="3" x14ac:dyDescent="0.25">
      <c r="A356" s="10" t="s">
        <v>9</v>
      </c>
      <c r="B356" s="11">
        <v>2867866</v>
      </c>
      <c r="C356" s="11">
        <v>431800</v>
      </c>
      <c r="D356" s="11">
        <v>377509.32</v>
      </c>
      <c r="E356" s="11">
        <v>377509.32</v>
      </c>
      <c r="F356" s="14">
        <f t="shared" si="39"/>
        <v>0.87426892079666518</v>
      </c>
      <c r="G356" s="14">
        <f t="shared" si="42"/>
        <v>0.13163422558794588</v>
      </c>
    </row>
    <row r="357" spans="1:7" ht="12.75" customHeight="1" outlineLevel="3" x14ac:dyDescent="0.25">
      <c r="A357" s="10" t="s">
        <v>10</v>
      </c>
      <c r="B357" s="11">
        <v>630930</v>
      </c>
      <c r="C357" s="11">
        <v>94996</v>
      </c>
      <c r="D357" s="11">
        <v>76523.14</v>
      </c>
      <c r="E357" s="11">
        <v>76523.14</v>
      </c>
      <c r="F357" s="14">
        <f t="shared" si="39"/>
        <v>0.80554065434334077</v>
      </c>
      <c r="G357" s="14">
        <f t="shared" si="42"/>
        <v>0.12128625996544783</v>
      </c>
    </row>
    <row r="358" spans="1:7" ht="12.75" customHeight="1" outlineLevel="3" x14ac:dyDescent="0.25">
      <c r="A358" s="10" t="s">
        <v>11</v>
      </c>
      <c r="B358" s="11">
        <v>409500</v>
      </c>
      <c r="C358" s="11">
        <v>20000</v>
      </c>
      <c r="D358" s="11"/>
      <c r="E358" s="11"/>
      <c r="F358" s="14">
        <v>0</v>
      </c>
      <c r="G358" s="14">
        <f t="shared" si="42"/>
        <v>0</v>
      </c>
    </row>
    <row r="359" spans="1:7" ht="12.75" customHeight="1" outlineLevel="3" x14ac:dyDescent="0.25">
      <c r="A359" s="10" t="s">
        <v>12</v>
      </c>
      <c r="B359" s="11">
        <v>300600</v>
      </c>
      <c r="C359" s="11">
        <v>30000</v>
      </c>
      <c r="D359" s="11"/>
      <c r="E359" s="11"/>
      <c r="F359" s="14">
        <f t="shared" ref="F359:F425" si="44">D359/C359</f>
        <v>0</v>
      </c>
      <c r="G359" s="14">
        <f t="shared" si="42"/>
        <v>0</v>
      </c>
    </row>
    <row r="360" spans="1:7" ht="12.75" customHeight="1" outlineLevel="3" x14ac:dyDescent="0.25">
      <c r="A360" s="10" t="s">
        <v>13</v>
      </c>
      <c r="B360" s="11">
        <v>192719</v>
      </c>
      <c r="C360" s="11">
        <v>64000</v>
      </c>
      <c r="D360" s="11"/>
      <c r="E360" s="11"/>
      <c r="F360" s="14">
        <f t="shared" si="44"/>
        <v>0</v>
      </c>
      <c r="G360" s="14">
        <f t="shared" si="42"/>
        <v>0</v>
      </c>
    </row>
    <row r="361" spans="1:7" ht="12.75" customHeight="1" outlineLevel="3" x14ac:dyDescent="0.25">
      <c r="A361" s="10" t="s">
        <v>14</v>
      </c>
      <c r="B361" s="11">
        <v>15549</v>
      </c>
      <c r="C361" s="11">
        <v>3000</v>
      </c>
      <c r="D361" s="11"/>
      <c r="E361" s="11"/>
      <c r="F361" s="14">
        <f t="shared" si="44"/>
        <v>0</v>
      </c>
      <c r="G361" s="14">
        <f t="shared" si="42"/>
        <v>0</v>
      </c>
    </row>
    <row r="362" spans="1:7" ht="12.75" customHeight="1" outlineLevel="3" x14ac:dyDescent="0.25">
      <c r="A362" s="10" t="s">
        <v>15</v>
      </c>
      <c r="B362" s="11">
        <v>137764</v>
      </c>
      <c r="C362" s="11">
        <v>25420</v>
      </c>
      <c r="D362" s="11"/>
      <c r="E362" s="11"/>
      <c r="F362" s="14">
        <f t="shared" si="44"/>
        <v>0</v>
      </c>
      <c r="G362" s="14">
        <f t="shared" si="42"/>
        <v>0</v>
      </c>
    </row>
    <row r="363" spans="1:7" ht="28.5" customHeight="1" outlineLevel="3" x14ac:dyDescent="0.25">
      <c r="A363" s="10" t="s">
        <v>16</v>
      </c>
      <c r="B363" s="11">
        <v>3000</v>
      </c>
      <c r="C363" s="11">
        <v>3000</v>
      </c>
      <c r="D363" s="11"/>
      <c r="E363" s="11"/>
      <c r="F363" s="14">
        <v>0</v>
      </c>
      <c r="G363" s="14">
        <f t="shared" si="42"/>
        <v>0</v>
      </c>
    </row>
    <row r="364" spans="1:7" ht="26.25" customHeight="1" outlineLevel="2" x14ac:dyDescent="0.25">
      <c r="A364" s="5" t="s">
        <v>42</v>
      </c>
      <c r="B364" s="6">
        <v>5912195</v>
      </c>
      <c r="C364" s="6">
        <v>1285820</v>
      </c>
      <c r="D364" s="6">
        <v>706425.33</v>
      </c>
      <c r="E364" s="6">
        <v>706425.33</v>
      </c>
      <c r="F364" s="7">
        <f t="shared" si="44"/>
        <v>0.5493967507116081</v>
      </c>
      <c r="G364" s="7">
        <f t="shared" si="42"/>
        <v>0.11948613501415294</v>
      </c>
    </row>
    <row r="365" spans="1:7" ht="15.75" customHeight="1" outlineLevel="3" x14ac:dyDescent="0.25">
      <c r="A365" s="10" t="s">
        <v>9</v>
      </c>
      <c r="B365" s="11">
        <v>3624012</v>
      </c>
      <c r="C365" s="11">
        <v>561000</v>
      </c>
      <c r="D365" s="11">
        <v>527400.15</v>
      </c>
      <c r="E365" s="11">
        <v>527400.15</v>
      </c>
      <c r="F365" s="14">
        <f t="shared" si="44"/>
        <v>0.94010721925133689</v>
      </c>
      <c r="G365" s="14">
        <f t="shared" si="42"/>
        <v>0.14552936082993104</v>
      </c>
    </row>
    <row r="366" spans="1:7" ht="15.75" customHeight="1" outlineLevel="3" x14ac:dyDescent="0.25">
      <c r="A366" s="10" t="s">
        <v>10</v>
      </c>
      <c r="B366" s="11">
        <v>797283</v>
      </c>
      <c r="C366" s="11">
        <v>123420</v>
      </c>
      <c r="D366" s="11">
        <v>111416.44</v>
      </c>
      <c r="E366" s="11">
        <v>111416.44</v>
      </c>
      <c r="F366" s="14">
        <f t="shared" si="44"/>
        <v>0.90274218116998872</v>
      </c>
      <c r="G366" s="14">
        <f t="shared" si="42"/>
        <v>0.13974515949794489</v>
      </c>
    </row>
    <row r="367" spans="1:7" ht="15.75" customHeight="1" outlineLevel="3" x14ac:dyDescent="0.25">
      <c r="A367" s="10" t="s">
        <v>11</v>
      </c>
      <c r="B367" s="11">
        <v>290500</v>
      </c>
      <c r="C367" s="11">
        <v>200000</v>
      </c>
      <c r="D367" s="11">
        <v>21600</v>
      </c>
      <c r="E367" s="11">
        <v>21600</v>
      </c>
      <c r="F367" s="14">
        <f t="shared" si="44"/>
        <v>0.108</v>
      </c>
      <c r="G367" s="14">
        <f t="shared" si="42"/>
        <v>7.4354561101549047E-2</v>
      </c>
    </row>
    <row r="368" spans="1:7" ht="15.75" customHeight="1" outlineLevel="3" x14ac:dyDescent="0.25">
      <c r="A368" s="10" t="s">
        <v>12</v>
      </c>
      <c r="B368" s="11">
        <v>899400</v>
      </c>
      <c r="C368" s="11">
        <v>300000</v>
      </c>
      <c r="D368" s="11">
        <v>16194.75</v>
      </c>
      <c r="E368" s="11">
        <v>16194.75</v>
      </c>
      <c r="F368" s="14">
        <f t="shared" si="44"/>
        <v>5.3982500000000003E-2</v>
      </c>
      <c r="G368" s="14">
        <f t="shared" si="42"/>
        <v>1.8006170780520348E-2</v>
      </c>
    </row>
    <row r="369" spans="1:7" ht="15.75" customHeight="1" outlineLevel="3" x14ac:dyDescent="0.25">
      <c r="A369" s="10" t="s">
        <v>13</v>
      </c>
      <c r="B369" s="11">
        <v>203000</v>
      </c>
      <c r="C369" s="11">
        <v>80000</v>
      </c>
      <c r="D369" s="11">
        <v>22056.99</v>
      </c>
      <c r="E369" s="11">
        <v>22056.99</v>
      </c>
      <c r="F369" s="14">
        <f t="shared" si="44"/>
        <v>0.27571237500000001</v>
      </c>
      <c r="G369" s="14">
        <f t="shared" si="42"/>
        <v>0.10865512315270937</v>
      </c>
    </row>
    <row r="370" spans="1:7" ht="15.75" customHeight="1" outlineLevel="3" x14ac:dyDescent="0.25">
      <c r="A370" s="10" t="s">
        <v>14</v>
      </c>
      <c r="B370" s="11">
        <v>20000</v>
      </c>
      <c r="C370" s="11">
        <v>3400</v>
      </c>
      <c r="D370" s="11">
        <v>1196.52</v>
      </c>
      <c r="E370" s="11">
        <v>1196.52</v>
      </c>
      <c r="F370" s="14">
        <f t="shared" si="44"/>
        <v>0.3519176470588235</v>
      </c>
      <c r="G370" s="14">
        <f t="shared" si="42"/>
        <v>5.9825999999999997E-2</v>
      </c>
    </row>
    <row r="371" spans="1:7" ht="15.75" customHeight="1" outlineLevel="3" x14ac:dyDescent="0.25">
      <c r="A371" s="10" t="s">
        <v>15</v>
      </c>
      <c r="B371" s="11">
        <v>75000</v>
      </c>
      <c r="C371" s="11">
        <v>15000</v>
      </c>
      <c r="D371" s="11">
        <v>6560.48</v>
      </c>
      <c r="E371" s="11">
        <v>6560.48</v>
      </c>
      <c r="F371" s="14">
        <f t="shared" si="44"/>
        <v>0.43736533333333333</v>
      </c>
      <c r="G371" s="14">
        <f t="shared" si="42"/>
        <v>8.7473066666666655E-2</v>
      </c>
    </row>
    <row r="372" spans="1:7" ht="28.5" customHeight="1" outlineLevel="3" x14ac:dyDescent="0.25">
      <c r="A372" s="10" t="s">
        <v>16</v>
      </c>
      <c r="B372" s="11">
        <v>3000</v>
      </c>
      <c r="C372" s="11">
        <v>3000</v>
      </c>
      <c r="D372" s="11"/>
      <c r="E372" s="11"/>
      <c r="F372" s="14">
        <v>0</v>
      </c>
      <c r="G372" s="14">
        <f t="shared" si="42"/>
        <v>0</v>
      </c>
    </row>
    <row r="373" spans="1:7" s="18" customFormat="1" ht="26.1" customHeight="1" outlineLevel="1" x14ac:dyDescent="0.2">
      <c r="A373" s="28" t="s">
        <v>77</v>
      </c>
      <c r="B373" s="22">
        <v>5791281</v>
      </c>
      <c r="C373" s="22">
        <v>1317080</v>
      </c>
      <c r="D373" s="22">
        <v>1317080</v>
      </c>
      <c r="E373" s="22">
        <v>1317080</v>
      </c>
      <c r="F373" s="23">
        <f t="shared" si="44"/>
        <v>1</v>
      </c>
      <c r="G373" s="23">
        <f t="shared" si="42"/>
        <v>0.22742464059333331</v>
      </c>
    </row>
    <row r="374" spans="1:7" ht="24.75" customHeight="1" outlineLevel="2" x14ac:dyDescent="0.25">
      <c r="A374" s="5" t="s">
        <v>41</v>
      </c>
      <c r="B374" s="6">
        <v>2528513</v>
      </c>
      <c r="C374" s="6">
        <v>575037</v>
      </c>
      <c r="D374" s="6">
        <v>575037</v>
      </c>
      <c r="E374" s="6">
        <v>575037</v>
      </c>
      <c r="F374" s="7">
        <f t="shared" si="44"/>
        <v>1</v>
      </c>
      <c r="G374" s="7">
        <f t="shared" si="42"/>
        <v>0.22742101780769963</v>
      </c>
    </row>
    <row r="375" spans="1:7" ht="15.75" customHeight="1" outlineLevel="3" x14ac:dyDescent="0.25">
      <c r="A375" s="10" t="s">
        <v>9</v>
      </c>
      <c r="B375" s="11">
        <v>2072552</v>
      </c>
      <c r="C375" s="11">
        <v>471342</v>
      </c>
      <c r="D375" s="11">
        <v>471342</v>
      </c>
      <c r="E375" s="11">
        <v>471342</v>
      </c>
      <c r="F375" s="14">
        <f t="shared" si="44"/>
        <v>1</v>
      </c>
      <c r="G375" s="14">
        <f t="shared" si="42"/>
        <v>0.22742107315039622</v>
      </c>
    </row>
    <row r="376" spans="1:7" ht="15.75" customHeight="1" outlineLevel="3" x14ac:dyDescent="0.25">
      <c r="A376" s="10" t="s">
        <v>10</v>
      </c>
      <c r="B376" s="11">
        <v>455961</v>
      </c>
      <c r="C376" s="11">
        <v>103695</v>
      </c>
      <c r="D376" s="11">
        <v>103695</v>
      </c>
      <c r="E376" s="11">
        <v>103695</v>
      </c>
      <c r="F376" s="14">
        <f t="shared" si="44"/>
        <v>1</v>
      </c>
      <c r="G376" s="14">
        <f t="shared" si="42"/>
        <v>0.22742076624974505</v>
      </c>
    </row>
    <row r="377" spans="1:7" ht="15.75" customHeight="1" outlineLevel="2" x14ac:dyDescent="0.25">
      <c r="A377" s="5" t="s">
        <v>42</v>
      </c>
      <c r="B377" s="6">
        <v>3262768</v>
      </c>
      <c r="C377" s="6">
        <v>742043</v>
      </c>
      <c r="D377" s="6">
        <v>742043</v>
      </c>
      <c r="E377" s="6">
        <v>742043</v>
      </c>
      <c r="F377" s="7">
        <f t="shared" si="44"/>
        <v>1</v>
      </c>
      <c r="G377" s="7">
        <f t="shared" si="42"/>
        <v>0.22742744810541235</v>
      </c>
    </row>
    <row r="378" spans="1:7" ht="15.75" customHeight="1" outlineLevel="3" x14ac:dyDescent="0.25">
      <c r="A378" s="10" t="s">
        <v>9</v>
      </c>
      <c r="B378" s="11">
        <v>2674400</v>
      </c>
      <c r="C378" s="11">
        <v>608232</v>
      </c>
      <c r="D378" s="11">
        <v>608232</v>
      </c>
      <c r="E378" s="11">
        <v>608232</v>
      </c>
      <c r="F378" s="14">
        <f t="shared" si="44"/>
        <v>1</v>
      </c>
      <c r="G378" s="14">
        <f t="shared" si="42"/>
        <v>0.22742746036494166</v>
      </c>
    </row>
    <row r="379" spans="1:7" ht="15.75" customHeight="1" outlineLevel="3" x14ac:dyDescent="0.25">
      <c r="A379" s="10" t="s">
        <v>10</v>
      </c>
      <c r="B379" s="11">
        <v>588368</v>
      </c>
      <c r="C379" s="11">
        <v>133811</v>
      </c>
      <c r="D379" s="11">
        <v>133811</v>
      </c>
      <c r="E379" s="11">
        <v>133811</v>
      </c>
      <c r="F379" s="14">
        <f t="shared" si="44"/>
        <v>1</v>
      </c>
      <c r="G379" s="14">
        <f t="shared" si="42"/>
        <v>0.22742739238027901</v>
      </c>
    </row>
    <row r="380" spans="1:7" ht="42" customHeight="1" outlineLevel="3" x14ac:dyDescent="0.25">
      <c r="A380" s="28" t="s">
        <v>116</v>
      </c>
      <c r="B380" s="62">
        <v>19195268</v>
      </c>
      <c r="C380" s="58"/>
      <c r="D380" s="58"/>
      <c r="E380" s="58"/>
      <c r="F380" s="23">
        <v>0</v>
      </c>
      <c r="G380" s="23">
        <f t="shared" ref="G380:G382" si="45">D380/B380</f>
        <v>0</v>
      </c>
    </row>
    <row r="381" spans="1:7" ht="30" customHeight="1" outlineLevel="3" x14ac:dyDescent="0.25">
      <c r="A381" s="5" t="s">
        <v>23</v>
      </c>
      <c r="B381" s="60">
        <v>19195268</v>
      </c>
      <c r="C381" s="11"/>
      <c r="D381" s="11"/>
      <c r="E381" s="11"/>
      <c r="F381" s="7">
        <v>0</v>
      </c>
      <c r="G381" s="7">
        <f t="shared" si="45"/>
        <v>0</v>
      </c>
    </row>
    <row r="382" spans="1:7" ht="18.75" customHeight="1" outlineLevel="3" x14ac:dyDescent="0.25">
      <c r="A382" s="10" t="s">
        <v>57</v>
      </c>
      <c r="B382" s="61">
        <v>19195268</v>
      </c>
      <c r="C382" s="11"/>
      <c r="D382" s="11"/>
      <c r="E382" s="11"/>
      <c r="F382" s="14">
        <v>0</v>
      </c>
      <c r="G382" s="14">
        <f t="shared" si="45"/>
        <v>0</v>
      </c>
    </row>
    <row r="383" spans="1:7" ht="39.75" customHeight="1" outlineLevel="1" x14ac:dyDescent="0.25">
      <c r="A383" s="28" t="s">
        <v>78</v>
      </c>
      <c r="B383" s="22">
        <f>B384+B387+B390+B393+B396+B399</f>
        <v>88849153</v>
      </c>
      <c r="C383" s="22">
        <f t="shared" ref="C383:E383" si="46">C384+C387+C390+C393+C396+C399</f>
        <v>29616388</v>
      </c>
      <c r="D383" s="22">
        <f t="shared" si="46"/>
        <v>29616388</v>
      </c>
      <c r="E383" s="22">
        <f t="shared" si="46"/>
        <v>25524845.080000002</v>
      </c>
      <c r="F383" s="23">
        <f t="shared" si="44"/>
        <v>1</v>
      </c>
      <c r="G383" s="23">
        <f t="shared" si="42"/>
        <v>0.33333337460178153</v>
      </c>
    </row>
    <row r="384" spans="1:7" ht="14.25" customHeight="1" outlineLevel="2" x14ac:dyDescent="0.25">
      <c r="A384" s="5" t="s">
        <v>28</v>
      </c>
      <c r="B384" s="6">
        <v>3519396</v>
      </c>
      <c r="C384" s="6">
        <v>1173132</v>
      </c>
      <c r="D384" s="6">
        <v>1173132</v>
      </c>
      <c r="E384" s="6">
        <v>1061466.17</v>
      </c>
      <c r="F384" s="7">
        <f t="shared" si="44"/>
        <v>1</v>
      </c>
      <c r="G384" s="7">
        <f t="shared" si="42"/>
        <v>0.33333333333333331</v>
      </c>
    </row>
    <row r="385" spans="1:7" ht="14.25" customHeight="1" outlineLevel="3" x14ac:dyDescent="0.25">
      <c r="A385" s="10" t="s">
        <v>9</v>
      </c>
      <c r="B385" s="11">
        <v>2884752</v>
      </c>
      <c r="C385" s="11">
        <v>961584</v>
      </c>
      <c r="D385" s="11">
        <v>961584</v>
      </c>
      <c r="E385" s="11">
        <v>870054.24</v>
      </c>
      <c r="F385" s="14">
        <f t="shared" si="44"/>
        <v>1</v>
      </c>
      <c r="G385" s="14">
        <f t="shared" si="42"/>
        <v>0.33333333333333331</v>
      </c>
    </row>
    <row r="386" spans="1:7" ht="14.25" customHeight="1" outlineLevel="3" x14ac:dyDescent="0.25">
      <c r="A386" s="10" t="s">
        <v>10</v>
      </c>
      <c r="B386" s="11">
        <v>634644</v>
      </c>
      <c r="C386" s="11">
        <v>211548</v>
      </c>
      <c r="D386" s="11">
        <v>211548</v>
      </c>
      <c r="E386" s="11">
        <v>191411.93</v>
      </c>
      <c r="F386" s="14">
        <f t="shared" si="44"/>
        <v>1</v>
      </c>
      <c r="G386" s="14">
        <f t="shared" si="42"/>
        <v>0.33333333333333331</v>
      </c>
    </row>
    <row r="387" spans="1:7" ht="14.25" customHeight="1" outlineLevel="2" x14ac:dyDescent="0.25">
      <c r="A387" s="5" t="s">
        <v>33</v>
      </c>
      <c r="B387" s="6">
        <v>3754254</v>
      </c>
      <c r="C387" s="6">
        <v>1251418</v>
      </c>
      <c r="D387" s="6">
        <v>1251418</v>
      </c>
      <c r="E387" s="6">
        <v>1105074.42</v>
      </c>
      <c r="F387" s="7">
        <f t="shared" si="44"/>
        <v>1</v>
      </c>
      <c r="G387" s="7">
        <f t="shared" si="42"/>
        <v>0.33333333333333331</v>
      </c>
    </row>
    <row r="388" spans="1:7" ht="14.25" customHeight="1" outlineLevel="3" x14ac:dyDescent="0.25">
      <c r="A388" s="10" t="s">
        <v>9</v>
      </c>
      <c r="B388" s="11">
        <v>3077256</v>
      </c>
      <c r="C388" s="11">
        <v>1025752</v>
      </c>
      <c r="D388" s="11">
        <v>1025752</v>
      </c>
      <c r="E388" s="11">
        <v>905798.71</v>
      </c>
      <c r="F388" s="14">
        <f t="shared" si="44"/>
        <v>1</v>
      </c>
      <c r="G388" s="14">
        <f t="shared" si="42"/>
        <v>0.33333333333333331</v>
      </c>
    </row>
    <row r="389" spans="1:7" ht="14.25" customHeight="1" outlineLevel="3" x14ac:dyDescent="0.25">
      <c r="A389" s="10" t="s">
        <v>10</v>
      </c>
      <c r="B389" s="11">
        <v>676998</v>
      </c>
      <c r="C389" s="11">
        <v>225666</v>
      </c>
      <c r="D389" s="11">
        <v>225666</v>
      </c>
      <c r="E389" s="11">
        <v>199275.71</v>
      </c>
      <c r="F389" s="14">
        <f t="shared" si="44"/>
        <v>1</v>
      </c>
      <c r="G389" s="14">
        <f t="shared" si="42"/>
        <v>0.33333333333333331</v>
      </c>
    </row>
    <row r="390" spans="1:7" ht="14.25" customHeight="1" outlineLevel="2" x14ac:dyDescent="0.25">
      <c r="A390" s="5" t="s">
        <v>30</v>
      </c>
      <c r="B390" s="6">
        <v>4927422</v>
      </c>
      <c r="C390" s="6">
        <v>1642474</v>
      </c>
      <c r="D390" s="6">
        <v>1642474</v>
      </c>
      <c r="E390" s="6">
        <v>1336505.92</v>
      </c>
      <c r="F390" s="7">
        <f t="shared" si="44"/>
        <v>1</v>
      </c>
      <c r="G390" s="7">
        <f t="shared" si="42"/>
        <v>0.33333333333333331</v>
      </c>
    </row>
    <row r="391" spans="1:7" ht="14.25" customHeight="1" outlineLevel="3" x14ac:dyDescent="0.25">
      <c r="A391" s="10" t="s">
        <v>9</v>
      </c>
      <c r="B391" s="11">
        <v>4038870</v>
      </c>
      <c r="C391" s="11">
        <v>1346290</v>
      </c>
      <c r="D391" s="11">
        <v>1346290</v>
      </c>
      <c r="E391" s="11">
        <v>1095496.6599999999</v>
      </c>
      <c r="F391" s="14">
        <f t="shared" si="44"/>
        <v>1</v>
      </c>
      <c r="G391" s="14">
        <f t="shared" si="42"/>
        <v>0.33333333333333331</v>
      </c>
    </row>
    <row r="392" spans="1:7" ht="14.25" customHeight="1" outlineLevel="3" x14ac:dyDescent="0.25">
      <c r="A392" s="10" t="s">
        <v>10</v>
      </c>
      <c r="B392" s="11">
        <v>888552</v>
      </c>
      <c r="C392" s="11">
        <v>296184</v>
      </c>
      <c r="D392" s="11">
        <v>296184</v>
      </c>
      <c r="E392" s="11">
        <v>241009.26</v>
      </c>
      <c r="F392" s="14">
        <f t="shared" si="44"/>
        <v>1</v>
      </c>
      <c r="G392" s="14">
        <f t="shared" si="42"/>
        <v>0.33333333333333331</v>
      </c>
    </row>
    <row r="393" spans="1:7" ht="14.25" customHeight="1" outlineLevel="2" x14ac:dyDescent="0.25">
      <c r="A393" s="5" t="s">
        <v>35</v>
      </c>
      <c r="B393" s="6">
        <v>2221986</v>
      </c>
      <c r="C393" s="6">
        <v>740662</v>
      </c>
      <c r="D393" s="6">
        <v>740662</v>
      </c>
      <c r="E393" s="6">
        <v>701848.7</v>
      </c>
      <c r="F393" s="7">
        <f t="shared" si="44"/>
        <v>1</v>
      </c>
      <c r="G393" s="7">
        <f t="shared" si="42"/>
        <v>0.33333333333333331</v>
      </c>
    </row>
    <row r="394" spans="1:7" ht="14.25" customHeight="1" outlineLevel="3" x14ac:dyDescent="0.25">
      <c r="A394" s="10" t="s">
        <v>9</v>
      </c>
      <c r="B394" s="11">
        <v>1821300</v>
      </c>
      <c r="C394" s="11">
        <v>607100</v>
      </c>
      <c r="D394" s="11">
        <v>607100</v>
      </c>
      <c r="E394" s="11">
        <v>575285.81999999995</v>
      </c>
      <c r="F394" s="14">
        <f t="shared" si="44"/>
        <v>1</v>
      </c>
      <c r="G394" s="14">
        <f t="shared" si="42"/>
        <v>0.33333333333333331</v>
      </c>
    </row>
    <row r="395" spans="1:7" ht="14.25" customHeight="1" outlineLevel="3" x14ac:dyDescent="0.25">
      <c r="A395" s="10" t="s">
        <v>10</v>
      </c>
      <c r="B395" s="11">
        <v>400686</v>
      </c>
      <c r="C395" s="11">
        <v>133562</v>
      </c>
      <c r="D395" s="11">
        <v>133562</v>
      </c>
      <c r="E395" s="11">
        <v>126562.88</v>
      </c>
      <c r="F395" s="14">
        <f t="shared" si="44"/>
        <v>1</v>
      </c>
      <c r="G395" s="14">
        <f t="shared" si="42"/>
        <v>0.33333333333333331</v>
      </c>
    </row>
    <row r="396" spans="1:7" ht="28.5" customHeight="1" outlineLevel="2" x14ac:dyDescent="0.25">
      <c r="A396" s="5" t="s">
        <v>23</v>
      </c>
      <c r="B396" s="6">
        <v>69890011</v>
      </c>
      <c r="C396" s="6">
        <v>23296674</v>
      </c>
      <c r="D396" s="6">
        <v>23296674</v>
      </c>
      <c r="E396" s="6">
        <v>20061075.640000001</v>
      </c>
      <c r="F396" s="7">
        <f t="shared" si="44"/>
        <v>1</v>
      </c>
      <c r="G396" s="7">
        <f t="shared" si="42"/>
        <v>0.33333338579671995</v>
      </c>
    </row>
    <row r="397" spans="1:7" ht="14.25" customHeight="1" outlineLevel="3" x14ac:dyDescent="0.25">
      <c r="A397" s="10" t="s">
        <v>9</v>
      </c>
      <c r="B397" s="11">
        <v>57286893</v>
      </c>
      <c r="C397" s="11">
        <v>19095634</v>
      </c>
      <c r="D397" s="11">
        <v>19095634</v>
      </c>
      <c r="E397" s="11">
        <v>16443504.619999999</v>
      </c>
      <c r="F397" s="14">
        <f t="shared" si="44"/>
        <v>1</v>
      </c>
      <c r="G397" s="14">
        <f t="shared" si="42"/>
        <v>0.33333338570133314</v>
      </c>
    </row>
    <row r="398" spans="1:7" ht="14.25" customHeight="1" outlineLevel="3" x14ac:dyDescent="0.25">
      <c r="A398" s="10" t="s">
        <v>10</v>
      </c>
      <c r="B398" s="11">
        <v>12603118</v>
      </c>
      <c r="C398" s="11">
        <v>4201040</v>
      </c>
      <c r="D398" s="11">
        <v>4201040</v>
      </c>
      <c r="E398" s="11">
        <v>3617571.02</v>
      </c>
      <c r="F398" s="14">
        <f t="shared" si="44"/>
        <v>1</v>
      </c>
      <c r="G398" s="14">
        <f t="shared" si="42"/>
        <v>0.33333338623029635</v>
      </c>
    </row>
    <row r="399" spans="1:7" ht="14.25" customHeight="1" outlineLevel="2" x14ac:dyDescent="0.25">
      <c r="A399" s="5" t="s">
        <v>36</v>
      </c>
      <c r="B399" s="6">
        <v>4536084</v>
      </c>
      <c r="C399" s="6">
        <v>1512028</v>
      </c>
      <c r="D399" s="6">
        <v>1512028</v>
      </c>
      <c r="E399" s="6">
        <v>1258874.23</v>
      </c>
      <c r="F399" s="7">
        <f t="shared" si="44"/>
        <v>1</v>
      </c>
      <c r="G399" s="7">
        <f t="shared" si="42"/>
        <v>0.33333333333333331</v>
      </c>
    </row>
    <row r="400" spans="1:7" ht="14.25" customHeight="1" outlineLevel="3" x14ac:dyDescent="0.25">
      <c r="A400" s="10" t="s">
        <v>9</v>
      </c>
      <c r="B400" s="11">
        <v>3718104</v>
      </c>
      <c r="C400" s="11">
        <v>1239368</v>
      </c>
      <c r="D400" s="11">
        <v>1239368</v>
      </c>
      <c r="E400" s="11">
        <v>1031864.12</v>
      </c>
      <c r="F400" s="14">
        <f t="shared" si="44"/>
        <v>1</v>
      </c>
      <c r="G400" s="14">
        <f t="shared" si="42"/>
        <v>0.33333333333333331</v>
      </c>
    </row>
    <row r="401" spans="1:7" ht="14.25" customHeight="1" outlineLevel="3" x14ac:dyDescent="0.25">
      <c r="A401" s="10" t="s">
        <v>10</v>
      </c>
      <c r="B401" s="11">
        <v>817980</v>
      </c>
      <c r="C401" s="11">
        <v>272660</v>
      </c>
      <c r="D401" s="11">
        <v>272660</v>
      </c>
      <c r="E401" s="11">
        <v>227010.11</v>
      </c>
      <c r="F401" s="14">
        <f t="shared" si="44"/>
        <v>1</v>
      </c>
      <c r="G401" s="14">
        <f t="shared" si="42"/>
        <v>0.33333333333333331</v>
      </c>
    </row>
    <row r="402" spans="1:7" s="18" customFormat="1" ht="39.75" customHeight="1" outlineLevel="1" x14ac:dyDescent="0.2">
      <c r="A402" s="28" t="s">
        <v>93</v>
      </c>
      <c r="B402" s="22">
        <f>B403+B405+B407+B409+B411+B413</f>
        <v>46361299</v>
      </c>
      <c r="C402" s="22">
        <f t="shared" ref="C402:E402" si="47">C403+C405+C407+C409+C411+C413</f>
        <v>18544530</v>
      </c>
      <c r="D402" s="22">
        <f t="shared" si="47"/>
        <v>18544530</v>
      </c>
      <c r="E402" s="22">
        <f t="shared" si="47"/>
        <v>3628756.3899999997</v>
      </c>
      <c r="F402" s="23">
        <f t="shared" si="44"/>
        <v>1</v>
      </c>
      <c r="G402" s="23">
        <f t="shared" si="42"/>
        <v>0.40000022432503457</v>
      </c>
    </row>
    <row r="403" spans="1:7" ht="15" customHeight="1" outlineLevel="2" x14ac:dyDescent="0.25">
      <c r="A403" s="5" t="s">
        <v>28</v>
      </c>
      <c r="B403" s="6">
        <v>1579050</v>
      </c>
      <c r="C403" s="6">
        <v>631600</v>
      </c>
      <c r="D403" s="6">
        <v>631600</v>
      </c>
      <c r="E403" s="6">
        <v>44261.62</v>
      </c>
      <c r="F403" s="7">
        <f t="shared" si="44"/>
        <v>1</v>
      </c>
      <c r="G403" s="7">
        <f t="shared" si="42"/>
        <v>0.39998733415661314</v>
      </c>
    </row>
    <row r="404" spans="1:7" ht="15" customHeight="1" outlineLevel="3" x14ac:dyDescent="0.25">
      <c r="A404" s="10" t="s">
        <v>34</v>
      </c>
      <c r="B404" s="11">
        <v>1579050</v>
      </c>
      <c r="C404" s="11">
        <v>631600</v>
      </c>
      <c r="D404" s="11">
        <v>631600</v>
      </c>
      <c r="E404" s="11">
        <v>44261.62</v>
      </c>
      <c r="F404" s="14">
        <f t="shared" si="44"/>
        <v>1</v>
      </c>
      <c r="G404" s="14">
        <f t="shared" si="42"/>
        <v>0.39998733415661314</v>
      </c>
    </row>
    <row r="405" spans="1:7" ht="15" customHeight="1" outlineLevel="2" x14ac:dyDescent="0.25">
      <c r="A405" s="5" t="s">
        <v>33</v>
      </c>
      <c r="B405" s="6">
        <v>2314200</v>
      </c>
      <c r="C405" s="6">
        <v>925700</v>
      </c>
      <c r="D405" s="6">
        <v>925700</v>
      </c>
      <c r="E405" s="6">
        <v>58900</v>
      </c>
      <c r="F405" s="7">
        <f t="shared" si="44"/>
        <v>1</v>
      </c>
      <c r="G405" s="7">
        <f t="shared" si="42"/>
        <v>0.40000864229539368</v>
      </c>
    </row>
    <row r="406" spans="1:7" ht="15" customHeight="1" outlineLevel="3" x14ac:dyDescent="0.25">
      <c r="A406" s="10" t="s">
        <v>34</v>
      </c>
      <c r="B406" s="11">
        <v>2314200</v>
      </c>
      <c r="C406" s="11">
        <v>925700</v>
      </c>
      <c r="D406" s="11">
        <v>925700</v>
      </c>
      <c r="E406" s="11">
        <v>58900</v>
      </c>
      <c r="F406" s="14">
        <f t="shared" si="44"/>
        <v>1</v>
      </c>
      <c r="G406" s="14">
        <f t="shared" si="42"/>
        <v>0.40000864229539368</v>
      </c>
    </row>
    <row r="407" spans="1:7" ht="15" customHeight="1" outlineLevel="2" x14ac:dyDescent="0.25">
      <c r="A407" s="5" t="s">
        <v>30</v>
      </c>
      <c r="B407" s="6">
        <v>2475150</v>
      </c>
      <c r="C407" s="6">
        <v>990100</v>
      </c>
      <c r="D407" s="6">
        <v>990100</v>
      </c>
      <c r="E407" s="6">
        <v>609973.36</v>
      </c>
      <c r="F407" s="7">
        <f t="shared" si="44"/>
        <v>1</v>
      </c>
      <c r="G407" s="7">
        <f t="shared" si="42"/>
        <v>0.40001616063672907</v>
      </c>
    </row>
    <row r="408" spans="1:7" ht="15" customHeight="1" outlineLevel="3" x14ac:dyDescent="0.25">
      <c r="A408" s="10" t="s">
        <v>34</v>
      </c>
      <c r="B408" s="11">
        <v>2475150</v>
      </c>
      <c r="C408" s="11">
        <v>990100</v>
      </c>
      <c r="D408" s="11">
        <v>990100</v>
      </c>
      <c r="E408" s="11">
        <v>609973.36</v>
      </c>
      <c r="F408" s="14">
        <f t="shared" si="44"/>
        <v>1</v>
      </c>
      <c r="G408" s="14">
        <f t="shared" si="42"/>
        <v>0.40001616063672907</v>
      </c>
    </row>
    <row r="409" spans="1:7" ht="15" customHeight="1" outlineLevel="2" x14ac:dyDescent="0.25">
      <c r="A409" s="5" t="s">
        <v>35</v>
      </c>
      <c r="B409" s="6">
        <v>1653000</v>
      </c>
      <c r="C409" s="6">
        <v>661200</v>
      </c>
      <c r="D409" s="6">
        <v>661200</v>
      </c>
      <c r="E409" s="6">
        <v>117873.12</v>
      </c>
      <c r="F409" s="7">
        <f t="shared" si="44"/>
        <v>1</v>
      </c>
      <c r="G409" s="7">
        <f t="shared" si="42"/>
        <v>0.4</v>
      </c>
    </row>
    <row r="410" spans="1:7" ht="15" customHeight="1" outlineLevel="3" x14ac:dyDescent="0.25">
      <c r="A410" s="10" t="s">
        <v>34</v>
      </c>
      <c r="B410" s="11">
        <v>1653000</v>
      </c>
      <c r="C410" s="11">
        <v>661200</v>
      </c>
      <c r="D410" s="11">
        <v>661200</v>
      </c>
      <c r="E410" s="11">
        <v>117873.12</v>
      </c>
      <c r="F410" s="14">
        <f t="shared" si="44"/>
        <v>1</v>
      </c>
      <c r="G410" s="14">
        <f t="shared" si="42"/>
        <v>0.4</v>
      </c>
    </row>
    <row r="411" spans="1:7" ht="15" customHeight="1" outlineLevel="2" x14ac:dyDescent="0.25">
      <c r="A411" s="5" t="s">
        <v>23</v>
      </c>
      <c r="B411" s="6">
        <v>37304599</v>
      </c>
      <c r="C411" s="6">
        <v>14921830</v>
      </c>
      <c r="D411" s="6">
        <v>14921830</v>
      </c>
      <c r="E411" s="6">
        <v>2674771.7799999998</v>
      </c>
      <c r="F411" s="7">
        <f t="shared" si="44"/>
        <v>1</v>
      </c>
      <c r="G411" s="7">
        <f t="shared" si="42"/>
        <v>0.39999974265907534</v>
      </c>
    </row>
    <row r="412" spans="1:7" ht="15" customHeight="1" outlineLevel="3" x14ac:dyDescent="0.25">
      <c r="A412" s="10" t="s">
        <v>34</v>
      </c>
      <c r="B412" s="11">
        <v>37304599</v>
      </c>
      <c r="C412" s="11">
        <v>14921830</v>
      </c>
      <c r="D412" s="11">
        <v>14921830</v>
      </c>
      <c r="E412" s="11">
        <v>2674771.7799999998</v>
      </c>
      <c r="F412" s="14">
        <f t="shared" si="44"/>
        <v>1</v>
      </c>
      <c r="G412" s="14">
        <f t="shared" si="42"/>
        <v>0.39999974265907534</v>
      </c>
    </row>
    <row r="413" spans="1:7" ht="15" customHeight="1" outlineLevel="2" x14ac:dyDescent="0.25">
      <c r="A413" s="5" t="s">
        <v>36</v>
      </c>
      <c r="B413" s="6">
        <v>1035300</v>
      </c>
      <c r="C413" s="6">
        <v>414100</v>
      </c>
      <c r="D413" s="6">
        <v>414100</v>
      </c>
      <c r="E413" s="6">
        <v>122976.51</v>
      </c>
      <c r="F413" s="7">
        <f t="shared" si="44"/>
        <v>1</v>
      </c>
      <c r="G413" s="7">
        <f t="shared" ref="G413:G476" si="48">D413/B413</f>
        <v>0.39998068192794362</v>
      </c>
    </row>
    <row r="414" spans="1:7" ht="15" customHeight="1" outlineLevel="3" x14ac:dyDescent="0.25">
      <c r="A414" s="10" t="s">
        <v>34</v>
      </c>
      <c r="B414" s="11">
        <v>1035300</v>
      </c>
      <c r="C414" s="11">
        <v>414100</v>
      </c>
      <c r="D414" s="11">
        <v>414100</v>
      </c>
      <c r="E414" s="11">
        <v>122976.51</v>
      </c>
      <c r="F414" s="14">
        <f t="shared" si="44"/>
        <v>1</v>
      </c>
      <c r="G414" s="14">
        <f t="shared" si="48"/>
        <v>0.39998068192794362</v>
      </c>
    </row>
    <row r="415" spans="1:7" s="27" customFormat="1" ht="21" customHeight="1" outlineLevel="3" x14ac:dyDescent="0.2">
      <c r="A415" s="24" t="s">
        <v>43</v>
      </c>
      <c r="B415" s="25">
        <f>B416+B430+B434+B445+B456+B459+B469</f>
        <v>102753647</v>
      </c>
      <c r="C415" s="25">
        <f t="shared" ref="C415:E415" si="49">C416+C430+C434+C445+C456+C459+C469</f>
        <v>17073978</v>
      </c>
      <c r="D415" s="25">
        <f t="shared" si="49"/>
        <v>14165458.080000002</v>
      </c>
      <c r="E415" s="25">
        <f t="shared" si="49"/>
        <v>14165458.080000002</v>
      </c>
      <c r="F415" s="26">
        <f t="shared" si="44"/>
        <v>0.82965188780259658</v>
      </c>
      <c r="G415" s="26">
        <f t="shared" si="48"/>
        <v>0.13785844584182985</v>
      </c>
    </row>
    <row r="416" spans="1:7" s="18" customFormat="1" ht="27.75" customHeight="1" outlineLevel="1" x14ac:dyDescent="0.2">
      <c r="A416" s="28" t="s">
        <v>79</v>
      </c>
      <c r="B416" s="22">
        <f>B417</f>
        <v>48683076</v>
      </c>
      <c r="C416" s="22">
        <f t="shared" ref="C416:E416" si="50">C417</f>
        <v>7620872</v>
      </c>
      <c r="D416" s="22">
        <f t="shared" si="50"/>
        <v>6662700.6600000001</v>
      </c>
      <c r="E416" s="22">
        <f t="shared" si="50"/>
        <v>6662700.6600000001</v>
      </c>
      <c r="F416" s="23">
        <f t="shared" si="44"/>
        <v>0.8742701176453298</v>
      </c>
      <c r="G416" s="23">
        <f t="shared" si="48"/>
        <v>0.13685866234089236</v>
      </c>
    </row>
    <row r="417" spans="1:7" ht="24" customHeight="1" outlineLevel="2" x14ac:dyDescent="0.25">
      <c r="A417" s="5" t="s">
        <v>44</v>
      </c>
      <c r="B417" s="6">
        <f>SUM(B418:B429)</f>
        <v>48683076</v>
      </c>
      <c r="C417" s="6">
        <f t="shared" ref="C417:E417" si="51">SUM(C418:C429)</f>
        <v>7620872</v>
      </c>
      <c r="D417" s="6">
        <f t="shared" si="51"/>
        <v>6662700.6600000001</v>
      </c>
      <c r="E417" s="6">
        <f t="shared" si="51"/>
        <v>6662700.6600000001</v>
      </c>
      <c r="F417" s="7">
        <f t="shared" si="44"/>
        <v>0.8742701176453298</v>
      </c>
      <c r="G417" s="7">
        <f t="shared" si="48"/>
        <v>0.13685866234089236</v>
      </c>
    </row>
    <row r="418" spans="1:7" ht="14.25" customHeight="1" outlineLevel="3" x14ac:dyDescent="0.25">
      <c r="A418" s="10" t="s">
        <v>9</v>
      </c>
      <c r="B418" s="11">
        <v>34112448</v>
      </c>
      <c r="C418" s="11">
        <v>5400000</v>
      </c>
      <c r="D418" s="11">
        <v>5390028.21</v>
      </c>
      <c r="E418" s="11">
        <v>5390028.21</v>
      </c>
      <c r="F418" s="14">
        <f t="shared" si="44"/>
        <v>0.99815337222222222</v>
      </c>
      <c r="G418" s="14">
        <f t="shared" si="48"/>
        <v>0.15800766365404206</v>
      </c>
    </row>
    <row r="419" spans="1:7" ht="14.25" customHeight="1" outlineLevel="3" x14ac:dyDescent="0.25">
      <c r="A419" s="10" t="s">
        <v>10</v>
      </c>
      <c r="B419" s="11">
        <v>7504739</v>
      </c>
      <c r="C419" s="11">
        <v>1188000</v>
      </c>
      <c r="D419" s="11">
        <v>1142053.6100000001</v>
      </c>
      <c r="E419" s="11">
        <v>1142053.6100000001</v>
      </c>
      <c r="F419" s="14">
        <f t="shared" si="44"/>
        <v>0.96132458754208761</v>
      </c>
      <c r="G419" s="14">
        <f t="shared" si="48"/>
        <v>0.15217765867673747</v>
      </c>
    </row>
    <row r="420" spans="1:7" ht="14.25" customHeight="1" outlineLevel="3" x14ac:dyDescent="0.25">
      <c r="A420" s="10" t="s">
        <v>11</v>
      </c>
      <c r="B420" s="11">
        <v>1524482</v>
      </c>
      <c r="C420" s="11">
        <v>50000</v>
      </c>
      <c r="D420" s="11">
        <v>29940</v>
      </c>
      <c r="E420" s="11">
        <v>29940</v>
      </c>
      <c r="F420" s="14">
        <v>0</v>
      </c>
      <c r="G420" s="14">
        <f t="shared" si="48"/>
        <v>1.9639457861752384E-2</v>
      </c>
    </row>
    <row r="421" spans="1:7" ht="14.25" customHeight="1" outlineLevel="3" x14ac:dyDescent="0.25">
      <c r="A421" s="10" t="s">
        <v>29</v>
      </c>
      <c r="B421" s="11">
        <v>200000</v>
      </c>
      <c r="C421" s="11"/>
      <c r="D421" s="11"/>
      <c r="E421" s="11"/>
      <c r="F421" s="14">
        <v>0</v>
      </c>
      <c r="G421" s="14">
        <f t="shared" si="48"/>
        <v>0</v>
      </c>
    </row>
    <row r="422" spans="1:7" ht="14.25" customHeight="1" outlineLevel="3" x14ac:dyDescent="0.25">
      <c r="A422" s="10" t="s">
        <v>34</v>
      </c>
      <c r="B422" s="11">
        <v>1464502</v>
      </c>
      <c r="C422" s="11">
        <v>190702</v>
      </c>
      <c r="D422" s="11">
        <v>59682</v>
      </c>
      <c r="E422" s="11">
        <v>59682</v>
      </c>
      <c r="F422" s="14">
        <f t="shared" si="44"/>
        <v>0.31295948652872019</v>
      </c>
      <c r="G422" s="14">
        <f t="shared" si="48"/>
        <v>4.0752419593827797E-2</v>
      </c>
    </row>
    <row r="423" spans="1:7" ht="14.25" customHeight="1" outlineLevel="3" x14ac:dyDescent="0.25">
      <c r="A423" s="10" t="s">
        <v>12</v>
      </c>
      <c r="B423" s="11">
        <v>951000</v>
      </c>
      <c r="C423" s="11">
        <v>90000</v>
      </c>
      <c r="D423" s="11">
        <v>35403</v>
      </c>
      <c r="E423" s="11">
        <v>35403</v>
      </c>
      <c r="F423" s="14">
        <f t="shared" si="44"/>
        <v>0.39336666666666664</v>
      </c>
      <c r="G423" s="14">
        <f t="shared" si="48"/>
        <v>3.7227129337539432E-2</v>
      </c>
    </row>
    <row r="424" spans="1:7" ht="14.25" customHeight="1" outlineLevel="3" x14ac:dyDescent="0.25">
      <c r="A424" s="10" t="s">
        <v>13</v>
      </c>
      <c r="B424" s="11">
        <v>1731472</v>
      </c>
      <c r="C424" s="11">
        <v>564300</v>
      </c>
      <c r="D424" s="11"/>
      <c r="E424" s="11"/>
      <c r="F424" s="14">
        <f t="shared" si="44"/>
        <v>0</v>
      </c>
      <c r="G424" s="14">
        <f t="shared" si="48"/>
        <v>0</v>
      </c>
    </row>
    <row r="425" spans="1:7" ht="14.25" customHeight="1" outlineLevel="3" x14ac:dyDescent="0.25">
      <c r="A425" s="10" t="s">
        <v>14</v>
      </c>
      <c r="B425" s="11">
        <v>45812</v>
      </c>
      <c r="C425" s="11">
        <v>9170</v>
      </c>
      <c r="D425" s="11">
        <v>1212.05</v>
      </c>
      <c r="E425" s="11">
        <v>1212.05</v>
      </c>
      <c r="F425" s="14">
        <f t="shared" si="44"/>
        <v>0.13217557251908396</v>
      </c>
      <c r="G425" s="14">
        <f t="shared" si="48"/>
        <v>2.6457041823103118E-2</v>
      </c>
    </row>
    <row r="426" spans="1:7" ht="14.25" customHeight="1" outlineLevel="3" x14ac:dyDescent="0.25">
      <c r="A426" s="10" t="s">
        <v>15</v>
      </c>
      <c r="B426" s="11">
        <v>688000</v>
      </c>
      <c r="C426" s="11">
        <v>123600</v>
      </c>
      <c r="D426" s="11"/>
      <c r="E426" s="11"/>
      <c r="F426" s="14">
        <f t="shared" ref="F426:F490" si="52">D426/C426</f>
        <v>0</v>
      </c>
      <c r="G426" s="14">
        <f t="shared" si="48"/>
        <v>0</v>
      </c>
    </row>
    <row r="427" spans="1:7" ht="14.25" customHeight="1" outlineLevel="3" x14ac:dyDescent="0.25">
      <c r="A427" s="10" t="s">
        <v>26</v>
      </c>
      <c r="B427" s="11">
        <v>30621</v>
      </c>
      <c r="C427" s="11">
        <v>5100</v>
      </c>
      <c r="D427" s="11">
        <v>4381.79</v>
      </c>
      <c r="E427" s="11">
        <v>4381.79</v>
      </c>
      <c r="F427" s="14">
        <f t="shared" si="52"/>
        <v>0.85917450980392152</v>
      </c>
      <c r="G427" s="14">
        <f t="shared" si="48"/>
        <v>0.14309754743476699</v>
      </c>
    </row>
    <row r="428" spans="1:7" ht="25.5" customHeight="1" outlineLevel="3" x14ac:dyDescent="0.25">
      <c r="A428" s="10" t="s">
        <v>16</v>
      </c>
      <c r="B428" s="11">
        <v>30000</v>
      </c>
      <c r="C428" s="11"/>
      <c r="D428" s="11"/>
      <c r="E428" s="11"/>
      <c r="F428" s="14">
        <v>0</v>
      </c>
      <c r="G428" s="14">
        <f t="shared" si="48"/>
        <v>0</v>
      </c>
    </row>
    <row r="429" spans="1:7" ht="14.25" customHeight="1" outlineLevel="3" x14ac:dyDescent="0.25">
      <c r="A429" s="10" t="s">
        <v>56</v>
      </c>
      <c r="B429" s="11">
        <v>400000</v>
      </c>
      <c r="C429" s="11"/>
      <c r="D429" s="11"/>
      <c r="E429" s="11"/>
      <c r="F429" s="14">
        <v>0</v>
      </c>
      <c r="G429" s="14">
        <f t="shared" si="48"/>
        <v>0</v>
      </c>
    </row>
    <row r="430" spans="1:7" ht="37.5" customHeight="1" outlineLevel="1" x14ac:dyDescent="0.25">
      <c r="A430" s="28" t="s">
        <v>80</v>
      </c>
      <c r="B430" s="22">
        <v>681600</v>
      </c>
      <c r="C430" s="22">
        <v>391600</v>
      </c>
      <c r="D430" s="22">
        <v>19200</v>
      </c>
      <c r="E430" s="22">
        <v>19200</v>
      </c>
      <c r="F430" s="23">
        <f t="shared" si="52"/>
        <v>4.9029622063329927E-2</v>
      </c>
      <c r="G430" s="23">
        <f t="shared" si="48"/>
        <v>2.8169014084507043E-2</v>
      </c>
    </row>
    <row r="431" spans="1:7" ht="28.5" customHeight="1" outlineLevel="2" x14ac:dyDescent="0.25">
      <c r="A431" s="5" t="s">
        <v>24</v>
      </c>
      <c r="B431" s="6">
        <v>681600</v>
      </c>
      <c r="C431" s="6">
        <v>391600</v>
      </c>
      <c r="D431" s="6">
        <v>19200</v>
      </c>
      <c r="E431" s="6">
        <v>19200</v>
      </c>
      <c r="F431" s="7">
        <f t="shared" si="52"/>
        <v>4.9029622063329927E-2</v>
      </c>
      <c r="G431" s="7">
        <f t="shared" si="48"/>
        <v>2.8169014084507043E-2</v>
      </c>
    </row>
    <row r="432" spans="1:7" ht="14.25" customHeight="1" outlineLevel="3" x14ac:dyDescent="0.25">
      <c r="A432" s="10" t="s">
        <v>11</v>
      </c>
      <c r="B432" s="11">
        <v>611600</v>
      </c>
      <c r="C432" s="11">
        <v>321600</v>
      </c>
      <c r="D432" s="11">
        <v>19200</v>
      </c>
      <c r="E432" s="11">
        <v>19200</v>
      </c>
      <c r="F432" s="14">
        <f t="shared" si="52"/>
        <v>5.9701492537313432E-2</v>
      </c>
      <c r="G432" s="14">
        <f t="shared" si="48"/>
        <v>3.1393067364290386E-2</v>
      </c>
    </row>
    <row r="433" spans="1:7" ht="14.25" customHeight="1" outlineLevel="3" x14ac:dyDescent="0.25">
      <c r="A433" s="10" t="s">
        <v>12</v>
      </c>
      <c r="B433" s="11">
        <v>70000</v>
      </c>
      <c r="C433" s="11">
        <v>70000</v>
      </c>
      <c r="D433" s="11"/>
      <c r="E433" s="11"/>
      <c r="F433" s="14">
        <v>0</v>
      </c>
      <c r="G433" s="14">
        <f t="shared" si="48"/>
        <v>0</v>
      </c>
    </row>
    <row r="434" spans="1:7" ht="63.75" customHeight="1" outlineLevel="1" x14ac:dyDescent="0.25">
      <c r="A434" s="28" t="s">
        <v>81</v>
      </c>
      <c r="B434" s="22">
        <v>15157905</v>
      </c>
      <c r="C434" s="22">
        <f>C435</f>
        <v>2367576</v>
      </c>
      <c r="D434" s="22">
        <v>2199196.4900000002</v>
      </c>
      <c r="E434" s="22">
        <v>2199196.4900000002</v>
      </c>
      <c r="F434" s="23">
        <f t="shared" si="52"/>
        <v>0.9288810538711324</v>
      </c>
      <c r="G434" s="23">
        <f t="shared" si="48"/>
        <v>0.14508578131344668</v>
      </c>
    </row>
    <row r="435" spans="1:7" ht="17.25" customHeight="1" outlineLevel="2" x14ac:dyDescent="0.25">
      <c r="A435" s="5" t="s">
        <v>45</v>
      </c>
      <c r="B435" s="6">
        <v>15157905</v>
      </c>
      <c r="C435" s="6">
        <f>SUM(C436:C444)</f>
        <v>2367576</v>
      </c>
      <c r="D435" s="6">
        <v>2199196.4900000002</v>
      </c>
      <c r="E435" s="6">
        <v>2199196.4900000002</v>
      </c>
      <c r="F435" s="7">
        <f t="shared" si="52"/>
        <v>0.9288810538711324</v>
      </c>
      <c r="G435" s="7">
        <f t="shared" si="48"/>
        <v>0.14508578131344668</v>
      </c>
    </row>
    <row r="436" spans="1:7" ht="14.25" customHeight="1" outlineLevel="3" x14ac:dyDescent="0.25">
      <c r="A436" s="10" t="s">
        <v>9</v>
      </c>
      <c r="B436" s="11">
        <v>11758100</v>
      </c>
      <c r="C436" s="30">
        <v>1800000</v>
      </c>
      <c r="D436" s="11">
        <v>1740121.14</v>
      </c>
      <c r="E436" s="11">
        <v>1740121.14</v>
      </c>
      <c r="F436" s="14">
        <f t="shared" si="52"/>
        <v>0.96673396666666656</v>
      </c>
      <c r="G436" s="14">
        <f t="shared" si="48"/>
        <v>0.14799339519139995</v>
      </c>
    </row>
    <row r="437" spans="1:7" ht="14.25" customHeight="1" outlineLevel="3" x14ac:dyDescent="0.25">
      <c r="A437" s="10" t="s">
        <v>10</v>
      </c>
      <c r="B437" s="11">
        <v>2586782</v>
      </c>
      <c r="C437" s="30">
        <v>396000</v>
      </c>
      <c r="D437" s="11">
        <v>353804.47</v>
      </c>
      <c r="E437" s="11">
        <v>353804.47</v>
      </c>
      <c r="F437" s="14">
        <f t="shared" si="52"/>
        <v>0.89344563131313126</v>
      </c>
      <c r="G437" s="14">
        <f t="shared" si="48"/>
        <v>0.1367739801807806</v>
      </c>
    </row>
    <row r="438" spans="1:7" ht="14.25" customHeight="1" outlineLevel="3" x14ac:dyDescent="0.25">
      <c r="A438" s="10" t="s">
        <v>11</v>
      </c>
      <c r="B438" s="11">
        <v>115000</v>
      </c>
      <c r="C438" s="30">
        <v>29100</v>
      </c>
      <c r="D438" s="11"/>
      <c r="E438" s="11"/>
      <c r="F438" s="14">
        <f t="shared" si="52"/>
        <v>0</v>
      </c>
      <c r="G438" s="14">
        <f t="shared" si="48"/>
        <v>0</v>
      </c>
    </row>
    <row r="439" spans="1:7" ht="14.25" customHeight="1" outlineLevel="3" x14ac:dyDescent="0.25">
      <c r="A439" s="10" t="s">
        <v>12</v>
      </c>
      <c r="B439" s="11">
        <v>265850</v>
      </c>
      <c r="C439" s="30">
        <v>36290</v>
      </c>
      <c r="D439" s="11">
        <v>29706.82</v>
      </c>
      <c r="E439" s="11">
        <v>29706.82</v>
      </c>
      <c r="F439" s="14">
        <f t="shared" si="52"/>
        <v>0.81859520529071372</v>
      </c>
      <c r="G439" s="14">
        <f t="shared" si="48"/>
        <v>0.11174278728606357</v>
      </c>
    </row>
    <row r="440" spans="1:7" ht="14.25" customHeight="1" outlineLevel="3" x14ac:dyDescent="0.25">
      <c r="A440" s="10" t="s">
        <v>21</v>
      </c>
      <c r="B440" s="11">
        <v>19140</v>
      </c>
      <c r="C440" s="30">
        <v>1740</v>
      </c>
      <c r="D440" s="11">
        <v>1740</v>
      </c>
      <c r="E440" s="11">
        <v>1740</v>
      </c>
      <c r="F440" s="14">
        <v>0</v>
      </c>
      <c r="G440" s="14">
        <f t="shared" si="48"/>
        <v>9.0909090909090912E-2</v>
      </c>
    </row>
    <row r="441" spans="1:7" ht="14.25" customHeight="1" outlineLevel="3" x14ac:dyDescent="0.25">
      <c r="A441" s="10" t="s">
        <v>13</v>
      </c>
      <c r="B441" s="11">
        <v>186151</v>
      </c>
      <c r="C441" s="30">
        <v>65644</v>
      </c>
      <c r="D441" s="11">
        <v>52249.53</v>
      </c>
      <c r="E441" s="11">
        <v>52249.53</v>
      </c>
      <c r="F441" s="14">
        <f t="shared" si="52"/>
        <v>0.79595286697946499</v>
      </c>
      <c r="G441" s="14">
        <f t="shared" si="48"/>
        <v>0.28068358483166889</v>
      </c>
    </row>
    <row r="442" spans="1:7" ht="14.25" customHeight="1" outlineLevel="3" x14ac:dyDescent="0.25">
      <c r="A442" s="10" t="s">
        <v>14</v>
      </c>
      <c r="B442" s="11">
        <v>16135</v>
      </c>
      <c r="C442" s="30">
        <v>2690</v>
      </c>
      <c r="D442" s="11">
        <v>2157.7600000000002</v>
      </c>
      <c r="E442" s="11">
        <v>2157.7600000000002</v>
      </c>
      <c r="F442" s="14">
        <f t="shared" si="52"/>
        <v>0.80214126394052054</v>
      </c>
      <c r="G442" s="14">
        <f t="shared" si="48"/>
        <v>0.13373163929346144</v>
      </c>
    </row>
    <row r="443" spans="1:7" ht="14.25" customHeight="1" outlineLevel="3" x14ac:dyDescent="0.25">
      <c r="A443" s="10" t="s">
        <v>15</v>
      </c>
      <c r="B443" s="11">
        <v>200000</v>
      </c>
      <c r="C443" s="30">
        <v>34320</v>
      </c>
      <c r="D443" s="11">
        <v>19416.77</v>
      </c>
      <c r="E443" s="11">
        <v>19416.77</v>
      </c>
      <c r="F443" s="14">
        <f t="shared" si="52"/>
        <v>0.56575670163170166</v>
      </c>
      <c r="G443" s="14">
        <f t="shared" si="48"/>
        <v>9.7083849999999999E-2</v>
      </c>
    </row>
    <row r="444" spans="1:7" ht="14.25" customHeight="1" outlineLevel="3" x14ac:dyDescent="0.25">
      <c r="A444" s="10" t="s">
        <v>26</v>
      </c>
      <c r="B444" s="11">
        <v>10747</v>
      </c>
      <c r="C444" s="30">
        <v>1792</v>
      </c>
      <c r="D444" s="11"/>
      <c r="E444" s="11"/>
      <c r="F444" s="14">
        <f t="shared" si="52"/>
        <v>0</v>
      </c>
      <c r="G444" s="14">
        <f t="shared" si="48"/>
        <v>0</v>
      </c>
    </row>
    <row r="445" spans="1:7" s="18" customFormat="1" ht="38.25" customHeight="1" outlineLevel="1" x14ac:dyDescent="0.2">
      <c r="A445" s="28" t="s">
        <v>82</v>
      </c>
      <c r="B445" s="22">
        <f>B446</f>
        <v>25376529</v>
      </c>
      <c r="C445" s="22">
        <f t="shared" ref="C445:E445" si="53">C446</f>
        <v>4544756</v>
      </c>
      <c r="D445" s="22">
        <f t="shared" si="53"/>
        <v>3417782.89</v>
      </c>
      <c r="E445" s="22">
        <f t="shared" si="53"/>
        <v>3417782.89</v>
      </c>
      <c r="F445" s="23">
        <f t="shared" si="52"/>
        <v>0.75202780743344644</v>
      </c>
      <c r="G445" s="23">
        <f t="shared" si="48"/>
        <v>0.13468283585986091</v>
      </c>
    </row>
    <row r="446" spans="1:7" ht="31.5" customHeight="1" outlineLevel="2" x14ac:dyDescent="0.25">
      <c r="A446" s="5" t="s">
        <v>46</v>
      </c>
      <c r="B446" s="6">
        <v>25376529</v>
      </c>
      <c r="C446" s="6">
        <v>4544756</v>
      </c>
      <c r="D446" s="6">
        <v>3417782.89</v>
      </c>
      <c r="E446" s="6">
        <v>3417782.89</v>
      </c>
      <c r="F446" s="7">
        <f t="shared" si="52"/>
        <v>0.75202780743344644</v>
      </c>
      <c r="G446" s="7">
        <f t="shared" si="48"/>
        <v>0.13468283585986091</v>
      </c>
    </row>
    <row r="447" spans="1:7" ht="14.25" customHeight="1" outlineLevel="3" x14ac:dyDescent="0.25">
      <c r="A447" s="10" t="s">
        <v>9</v>
      </c>
      <c r="B447" s="11">
        <v>16920982</v>
      </c>
      <c r="C447" s="11">
        <v>2740000</v>
      </c>
      <c r="D447" s="11">
        <v>2711208.2</v>
      </c>
      <c r="E447" s="11">
        <v>2711208.2</v>
      </c>
      <c r="F447" s="14">
        <f t="shared" si="52"/>
        <v>0.9894920437956205</v>
      </c>
      <c r="G447" s="14">
        <f t="shared" si="48"/>
        <v>0.16022759199200143</v>
      </c>
    </row>
    <row r="448" spans="1:7" ht="14.25" customHeight="1" outlineLevel="3" x14ac:dyDescent="0.25">
      <c r="A448" s="10" t="s">
        <v>10</v>
      </c>
      <c r="B448" s="11">
        <v>3722616</v>
      </c>
      <c r="C448" s="11">
        <v>602800</v>
      </c>
      <c r="D448" s="11">
        <v>590506.06000000006</v>
      </c>
      <c r="E448" s="11">
        <v>590506.06000000006</v>
      </c>
      <c r="F448" s="14">
        <f t="shared" si="52"/>
        <v>0.97960527538155284</v>
      </c>
      <c r="G448" s="14">
        <f t="shared" si="48"/>
        <v>0.15862663782673261</v>
      </c>
    </row>
    <row r="449" spans="1:7" ht="14.25" customHeight="1" outlineLevel="3" x14ac:dyDescent="0.25">
      <c r="A449" s="10" t="s">
        <v>11</v>
      </c>
      <c r="B449" s="11">
        <v>300000</v>
      </c>
      <c r="C449" s="11">
        <v>40000</v>
      </c>
      <c r="D449" s="11">
        <v>7105</v>
      </c>
      <c r="E449" s="11">
        <v>7105</v>
      </c>
      <c r="F449" s="14">
        <f t="shared" si="52"/>
        <v>0.17762500000000001</v>
      </c>
      <c r="G449" s="14">
        <f t="shared" si="48"/>
        <v>2.3683333333333334E-2</v>
      </c>
    </row>
    <row r="450" spans="1:7" ht="14.25" customHeight="1" outlineLevel="3" x14ac:dyDescent="0.25">
      <c r="A450" s="10" t="s">
        <v>12</v>
      </c>
      <c r="B450" s="11">
        <v>1092213</v>
      </c>
      <c r="C450" s="11">
        <v>210000</v>
      </c>
      <c r="D450" s="11">
        <v>33478.46</v>
      </c>
      <c r="E450" s="11">
        <v>33478.46</v>
      </c>
      <c r="F450" s="14">
        <f t="shared" si="52"/>
        <v>0.15942123809523809</v>
      </c>
      <c r="G450" s="14">
        <f t="shared" si="48"/>
        <v>3.0651951588197539E-2</v>
      </c>
    </row>
    <row r="451" spans="1:7" ht="14.25" customHeight="1" outlineLevel="3" x14ac:dyDescent="0.25">
      <c r="A451" s="10" t="s">
        <v>13</v>
      </c>
      <c r="B451" s="11">
        <v>2067768</v>
      </c>
      <c r="C451" s="11">
        <v>690000</v>
      </c>
      <c r="D451" s="11"/>
      <c r="E451" s="11"/>
      <c r="F451" s="14">
        <f t="shared" si="52"/>
        <v>0</v>
      </c>
      <c r="G451" s="14">
        <f t="shared" si="48"/>
        <v>0</v>
      </c>
    </row>
    <row r="452" spans="1:7" ht="14.25" customHeight="1" outlineLevel="3" x14ac:dyDescent="0.25">
      <c r="A452" s="10" t="s">
        <v>14</v>
      </c>
      <c r="B452" s="11">
        <v>279037</v>
      </c>
      <c r="C452" s="11">
        <v>48000</v>
      </c>
      <c r="D452" s="11">
        <v>4510.42</v>
      </c>
      <c r="E452" s="11">
        <v>4510.42</v>
      </c>
      <c r="F452" s="14">
        <f t="shared" si="52"/>
        <v>9.396708333333334E-2</v>
      </c>
      <c r="G452" s="14">
        <f t="shared" si="48"/>
        <v>1.6164236284077021E-2</v>
      </c>
    </row>
    <row r="453" spans="1:7" ht="14.25" customHeight="1" outlineLevel="3" x14ac:dyDescent="0.25">
      <c r="A453" s="10" t="s">
        <v>15</v>
      </c>
      <c r="B453" s="11">
        <v>929857</v>
      </c>
      <c r="C453" s="11">
        <v>185000</v>
      </c>
      <c r="D453" s="11">
        <v>45538.75</v>
      </c>
      <c r="E453" s="11">
        <v>45538.75</v>
      </c>
      <c r="F453" s="14">
        <f t="shared" si="52"/>
        <v>0.2461554054054054</v>
      </c>
      <c r="G453" s="14">
        <f t="shared" si="48"/>
        <v>4.8973928249182404E-2</v>
      </c>
    </row>
    <row r="454" spans="1:7" ht="14.25" customHeight="1" outlineLevel="3" x14ac:dyDescent="0.25">
      <c r="A454" s="10" t="s">
        <v>26</v>
      </c>
      <c r="B454" s="11">
        <v>53956</v>
      </c>
      <c r="C454" s="11">
        <v>28956</v>
      </c>
      <c r="D454" s="11">
        <v>25436</v>
      </c>
      <c r="E454" s="11">
        <v>25436</v>
      </c>
      <c r="F454" s="14">
        <f t="shared" si="52"/>
        <v>0.87843624810056642</v>
      </c>
      <c r="G454" s="14">
        <f t="shared" si="48"/>
        <v>0.47142115798057677</v>
      </c>
    </row>
    <row r="455" spans="1:7" ht="25.5" customHeight="1" outlineLevel="3" x14ac:dyDescent="0.25">
      <c r="A455" s="10" t="s">
        <v>16</v>
      </c>
      <c r="B455" s="11">
        <v>10100</v>
      </c>
      <c r="C455" s="11"/>
      <c r="D455" s="11"/>
      <c r="E455" s="11"/>
      <c r="F455" s="14">
        <v>0</v>
      </c>
      <c r="G455" s="14">
        <f t="shared" si="48"/>
        <v>0</v>
      </c>
    </row>
    <row r="456" spans="1:7" s="18" customFormat="1" ht="37.5" customHeight="1" outlineLevel="1" x14ac:dyDescent="0.2">
      <c r="A456" s="28" t="s">
        <v>83</v>
      </c>
      <c r="B456" s="22">
        <v>66800</v>
      </c>
      <c r="C456" s="22">
        <v>9704</v>
      </c>
      <c r="D456" s="22"/>
      <c r="E456" s="22"/>
      <c r="F456" s="23">
        <v>0</v>
      </c>
      <c r="G456" s="23">
        <f t="shared" si="48"/>
        <v>0</v>
      </c>
    </row>
    <row r="457" spans="1:7" ht="27.75" customHeight="1" outlineLevel="2" x14ac:dyDescent="0.25">
      <c r="A457" s="5" t="s">
        <v>22</v>
      </c>
      <c r="B457" s="6">
        <v>66800</v>
      </c>
      <c r="C457" s="6">
        <v>9704</v>
      </c>
      <c r="D457" s="6"/>
      <c r="E457" s="6"/>
      <c r="F457" s="7">
        <v>0</v>
      </c>
      <c r="G457" s="7">
        <f t="shared" si="48"/>
        <v>0</v>
      </c>
    </row>
    <row r="458" spans="1:7" ht="15.75" customHeight="1" outlineLevel="3" x14ac:dyDescent="0.25">
      <c r="A458" s="10" t="s">
        <v>11</v>
      </c>
      <c r="B458" s="11">
        <v>66800</v>
      </c>
      <c r="C458" s="11">
        <v>9704</v>
      </c>
      <c r="D458" s="11"/>
      <c r="E458" s="11"/>
      <c r="F458" s="14">
        <v>0</v>
      </c>
      <c r="G458" s="14">
        <f t="shared" si="48"/>
        <v>0</v>
      </c>
    </row>
    <row r="459" spans="1:7" ht="39.75" customHeight="1" outlineLevel="1" x14ac:dyDescent="0.25">
      <c r="A459" s="28" t="s">
        <v>84</v>
      </c>
      <c r="B459" s="22">
        <v>12696737</v>
      </c>
      <c r="C459" s="22">
        <v>2126470</v>
      </c>
      <c r="D459" s="22">
        <v>1853578.04</v>
      </c>
      <c r="E459" s="22">
        <v>1853578.04</v>
      </c>
      <c r="F459" s="23">
        <f t="shared" si="52"/>
        <v>0.87166902895408827</v>
      </c>
      <c r="G459" s="23">
        <f t="shared" si="48"/>
        <v>0.14598853547962756</v>
      </c>
    </row>
    <row r="460" spans="1:7" ht="27" customHeight="1" outlineLevel="2" x14ac:dyDescent="0.25">
      <c r="A460" s="5" t="s">
        <v>47</v>
      </c>
      <c r="B460" s="6">
        <v>12696737</v>
      </c>
      <c r="C460" s="6">
        <v>2126470</v>
      </c>
      <c r="D460" s="6">
        <v>1853578.04</v>
      </c>
      <c r="E460" s="6">
        <v>1853578.04</v>
      </c>
      <c r="F460" s="7">
        <f t="shared" si="52"/>
        <v>0.87166902895408827</v>
      </c>
      <c r="G460" s="7">
        <f t="shared" si="48"/>
        <v>0.14598853547962756</v>
      </c>
    </row>
    <row r="461" spans="1:7" ht="14.25" customHeight="1" outlineLevel="3" x14ac:dyDescent="0.25">
      <c r="A461" s="10" t="s">
        <v>9</v>
      </c>
      <c r="B461" s="11">
        <v>9201452</v>
      </c>
      <c r="C461" s="11">
        <v>1533500</v>
      </c>
      <c r="D461" s="11">
        <v>1448012.28</v>
      </c>
      <c r="E461" s="11">
        <v>1448012.28</v>
      </c>
      <c r="F461" s="14">
        <f t="shared" si="52"/>
        <v>0.94425319856537338</v>
      </c>
      <c r="G461" s="14">
        <f t="shared" si="48"/>
        <v>0.15736780238597126</v>
      </c>
    </row>
    <row r="462" spans="1:7" ht="14.25" customHeight="1" outlineLevel="3" x14ac:dyDescent="0.25">
      <c r="A462" s="10" t="s">
        <v>10</v>
      </c>
      <c r="B462" s="11">
        <v>2024319</v>
      </c>
      <c r="C462" s="11">
        <v>337370</v>
      </c>
      <c r="D462" s="11">
        <v>305567.52</v>
      </c>
      <c r="E462" s="11">
        <v>305567.52</v>
      </c>
      <c r="F462" s="14">
        <f t="shared" si="52"/>
        <v>0.90573411980911167</v>
      </c>
      <c r="G462" s="14">
        <f t="shared" si="48"/>
        <v>0.15094830409634055</v>
      </c>
    </row>
    <row r="463" spans="1:7" ht="14.25" customHeight="1" outlineLevel="3" x14ac:dyDescent="0.25">
      <c r="A463" s="10" t="s">
        <v>11</v>
      </c>
      <c r="B463" s="11">
        <v>100006</v>
      </c>
      <c r="C463" s="11">
        <v>9000</v>
      </c>
      <c r="D463" s="11"/>
      <c r="E463" s="11"/>
      <c r="F463" s="14">
        <f t="shared" si="52"/>
        <v>0</v>
      </c>
      <c r="G463" s="14">
        <f t="shared" si="48"/>
        <v>0</v>
      </c>
    </row>
    <row r="464" spans="1:7" ht="14.25" customHeight="1" outlineLevel="3" x14ac:dyDescent="0.25">
      <c r="A464" s="10" t="s">
        <v>12</v>
      </c>
      <c r="B464" s="11">
        <v>895000</v>
      </c>
      <c r="C464" s="11">
        <v>144000</v>
      </c>
      <c r="D464" s="11">
        <v>95557.52</v>
      </c>
      <c r="E464" s="11">
        <v>95557.52</v>
      </c>
      <c r="F464" s="14">
        <f t="shared" si="52"/>
        <v>0.66359388888888893</v>
      </c>
      <c r="G464" s="14">
        <f t="shared" si="48"/>
        <v>0.10676817877094973</v>
      </c>
    </row>
    <row r="465" spans="1:7" ht="14.25" customHeight="1" outlineLevel="3" x14ac:dyDescent="0.25">
      <c r="A465" s="10" t="s">
        <v>13</v>
      </c>
      <c r="B465" s="11">
        <v>215016</v>
      </c>
      <c r="C465" s="11">
        <v>60000</v>
      </c>
      <c r="D465" s="11"/>
      <c r="E465" s="11"/>
      <c r="F465" s="14">
        <f t="shared" si="52"/>
        <v>0</v>
      </c>
      <c r="G465" s="14">
        <f t="shared" si="48"/>
        <v>0</v>
      </c>
    </row>
    <row r="466" spans="1:7" ht="14.25" customHeight="1" outlineLevel="3" x14ac:dyDescent="0.25">
      <c r="A466" s="10" t="s">
        <v>14</v>
      </c>
      <c r="B466" s="11">
        <v>27989</v>
      </c>
      <c r="C466" s="11">
        <v>4600</v>
      </c>
      <c r="D466" s="11">
        <v>2392.84</v>
      </c>
      <c r="E466" s="11">
        <v>2392.84</v>
      </c>
      <c r="F466" s="14">
        <f t="shared" si="52"/>
        <v>0.52018260869565225</v>
      </c>
      <c r="G466" s="14">
        <f t="shared" si="48"/>
        <v>8.5492157633355964E-2</v>
      </c>
    </row>
    <row r="467" spans="1:7" ht="14.25" customHeight="1" outlineLevel="3" x14ac:dyDescent="0.25">
      <c r="A467" s="10" t="s">
        <v>15</v>
      </c>
      <c r="B467" s="11">
        <v>228000</v>
      </c>
      <c r="C467" s="11">
        <v>38000</v>
      </c>
      <c r="D467" s="11">
        <v>2047.88</v>
      </c>
      <c r="E467" s="11">
        <v>2047.88</v>
      </c>
      <c r="F467" s="14">
        <f t="shared" si="52"/>
        <v>5.3891578947368422E-2</v>
      </c>
      <c r="G467" s="14">
        <f t="shared" si="48"/>
        <v>8.9819298245614031E-3</v>
      </c>
    </row>
    <row r="468" spans="1:7" ht="27" customHeight="1" outlineLevel="3" x14ac:dyDescent="0.25">
      <c r="A468" s="10" t="s">
        <v>16</v>
      </c>
      <c r="B468" s="11">
        <v>4955</v>
      </c>
      <c r="C468" s="11"/>
      <c r="D468" s="11"/>
      <c r="E468" s="11"/>
      <c r="F468" s="14">
        <v>0</v>
      </c>
      <c r="G468" s="14">
        <f t="shared" si="48"/>
        <v>0</v>
      </c>
    </row>
    <row r="469" spans="1:7" s="18" customFormat="1" ht="27.75" customHeight="1" outlineLevel="1" x14ac:dyDescent="0.2">
      <c r="A469" s="28" t="s">
        <v>85</v>
      </c>
      <c r="B469" s="22">
        <v>91000</v>
      </c>
      <c r="C469" s="22">
        <v>13000</v>
      </c>
      <c r="D469" s="22">
        <v>13000</v>
      </c>
      <c r="E469" s="22">
        <v>13000</v>
      </c>
      <c r="F469" s="23">
        <f t="shared" si="52"/>
        <v>1</v>
      </c>
      <c r="G469" s="23">
        <f t="shared" si="48"/>
        <v>0.14285714285714285</v>
      </c>
    </row>
    <row r="470" spans="1:7" ht="27.75" customHeight="1" outlineLevel="2" x14ac:dyDescent="0.25">
      <c r="A470" s="5" t="s">
        <v>20</v>
      </c>
      <c r="B470" s="6">
        <v>91000</v>
      </c>
      <c r="C470" s="6">
        <v>13000</v>
      </c>
      <c r="D470" s="6">
        <v>13000</v>
      </c>
      <c r="E470" s="6">
        <v>13000</v>
      </c>
      <c r="F470" s="7">
        <f t="shared" si="52"/>
        <v>1</v>
      </c>
      <c r="G470" s="7">
        <f t="shared" si="48"/>
        <v>0.14285714285714285</v>
      </c>
    </row>
    <row r="471" spans="1:7" ht="15" customHeight="1" outlineLevel="3" x14ac:dyDescent="0.25">
      <c r="A471" s="10" t="s">
        <v>11</v>
      </c>
      <c r="B471" s="11">
        <v>91000</v>
      </c>
      <c r="C471" s="11">
        <v>13000</v>
      </c>
      <c r="D471" s="11">
        <v>13000</v>
      </c>
      <c r="E471" s="11">
        <v>13000</v>
      </c>
      <c r="F471" s="14">
        <f t="shared" si="52"/>
        <v>1</v>
      </c>
      <c r="G471" s="14">
        <f t="shared" si="48"/>
        <v>0.14285714285714285</v>
      </c>
    </row>
    <row r="472" spans="1:7" ht="15" customHeight="1" outlineLevel="3" x14ac:dyDescent="0.25">
      <c r="A472" s="24" t="s">
        <v>48</v>
      </c>
      <c r="B472" s="25">
        <f>B473+B484+B494</f>
        <v>58815969</v>
      </c>
      <c r="C472" s="25">
        <f t="shared" ref="C472:E472" si="54">C473+C484+C494</f>
        <v>9524982</v>
      </c>
      <c r="D472" s="25">
        <f t="shared" si="54"/>
        <v>7825846.9299999997</v>
      </c>
      <c r="E472" s="25">
        <f t="shared" si="54"/>
        <v>7825846.9299999997</v>
      </c>
      <c r="F472" s="26">
        <f t="shared" ref="F472" si="55">D472/C472</f>
        <v>0.82161277890078954</v>
      </c>
      <c r="G472" s="26">
        <f t="shared" si="48"/>
        <v>0.13305649916266787</v>
      </c>
    </row>
    <row r="473" spans="1:7" ht="15" customHeight="1" outlineLevel="1" x14ac:dyDescent="0.25">
      <c r="A473" s="28" t="s">
        <v>86</v>
      </c>
      <c r="B473" s="22">
        <f>B474</f>
        <v>43464259</v>
      </c>
      <c r="C473" s="22">
        <f t="shared" ref="C473:E473" si="56">C474</f>
        <v>6918118</v>
      </c>
      <c r="D473" s="22">
        <f t="shared" si="56"/>
        <v>5848871.1999999993</v>
      </c>
      <c r="E473" s="22">
        <f t="shared" si="56"/>
        <v>5848871.1999999993</v>
      </c>
      <c r="F473" s="23">
        <f t="shared" si="52"/>
        <v>0.84544253220312215</v>
      </c>
      <c r="G473" s="23">
        <f t="shared" si="48"/>
        <v>0.13456737408085109</v>
      </c>
    </row>
    <row r="474" spans="1:7" ht="27" customHeight="1" outlineLevel="2" x14ac:dyDescent="0.25">
      <c r="A474" s="5" t="s">
        <v>25</v>
      </c>
      <c r="B474" s="6">
        <f>SUM(B475:B483)</f>
        <v>43464259</v>
      </c>
      <c r="C474" s="6">
        <f t="shared" ref="C474:E474" si="57">SUM(C475:C483)</f>
        <v>6918118</v>
      </c>
      <c r="D474" s="6">
        <f t="shared" si="57"/>
        <v>5848871.1999999993</v>
      </c>
      <c r="E474" s="6">
        <f t="shared" si="57"/>
        <v>5848871.1999999993</v>
      </c>
      <c r="F474" s="7">
        <f t="shared" si="52"/>
        <v>0.84544253220312215</v>
      </c>
      <c r="G474" s="7">
        <f t="shared" si="48"/>
        <v>0.13456737408085109</v>
      </c>
    </row>
    <row r="475" spans="1:7" ht="15" customHeight="1" outlineLevel="3" x14ac:dyDescent="0.25">
      <c r="A475" s="10" t="s">
        <v>9</v>
      </c>
      <c r="B475" s="11">
        <v>30066049</v>
      </c>
      <c r="C475" s="30">
        <v>4600000</v>
      </c>
      <c r="D475" s="11">
        <v>4599915.1900000004</v>
      </c>
      <c r="E475" s="11">
        <v>4599915.1900000004</v>
      </c>
      <c r="F475" s="14">
        <f t="shared" si="52"/>
        <v>0.99998156304347841</v>
      </c>
      <c r="G475" s="14">
        <f t="shared" si="48"/>
        <v>0.15299367036886025</v>
      </c>
    </row>
    <row r="476" spans="1:7" ht="15" customHeight="1" outlineLevel="3" x14ac:dyDescent="0.25">
      <c r="A476" s="10" t="s">
        <v>10</v>
      </c>
      <c r="B476" s="11">
        <v>6614531</v>
      </c>
      <c r="C476" s="30">
        <v>1012000</v>
      </c>
      <c r="D476" s="11">
        <v>1012000</v>
      </c>
      <c r="E476" s="11">
        <v>1012000</v>
      </c>
      <c r="F476" s="14">
        <f t="shared" si="52"/>
        <v>1</v>
      </c>
      <c r="G476" s="14">
        <f t="shared" si="48"/>
        <v>0.15299648606983623</v>
      </c>
    </row>
    <row r="477" spans="1:7" ht="15" customHeight="1" outlineLevel="3" x14ac:dyDescent="0.25">
      <c r="A477" s="10" t="s">
        <v>11</v>
      </c>
      <c r="B477" s="11">
        <v>200000</v>
      </c>
      <c r="C477" s="30"/>
      <c r="D477" s="11"/>
      <c r="E477" s="11"/>
      <c r="F477" s="14">
        <v>0</v>
      </c>
      <c r="G477" s="14">
        <f t="shared" ref="G477:G541" si="58">D477/B477</f>
        <v>0</v>
      </c>
    </row>
    <row r="478" spans="1:7" ht="15" customHeight="1" outlineLevel="3" x14ac:dyDescent="0.25">
      <c r="A478" s="10" t="s">
        <v>12</v>
      </c>
      <c r="B478" s="11">
        <v>1700000</v>
      </c>
      <c r="C478" s="30">
        <v>200000</v>
      </c>
      <c r="D478" s="11">
        <v>30856.68</v>
      </c>
      <c r="E478" s="11">
        <v>30856.68</v>
      </c>
      <c r="F478" s="14">
        <f t="shared" si="52"/>
        <v>0.15428340000000001</v>
      </c>
      <c r="G478" s="14">
        <f t="shared" si="58"/>
        <v>1.8150988235294117E-2</v>
      </c>
    </row>
    <row r="479" spans="1:7" ht="15" customHeight="1" outlineLevel="3" x14ac:dyDescent="0.25">
      <c r="A479" s="10" t="s">
        <v>13</v>
      </c>
      <c r="B479" s="11">
        <v>2693715</v>
      </c>
      <c r="C479" s="30">
        <v>931949</v>
      </c>
      <c r="D479" s="11">
        <v>166629.22</v>
      </c>
      <c r="E479" s="11">
        <v>166629.22</v>
      </c>
      <c r="F479" s="14">
        <f t="shared" si="52"/>
        <v>0.17879650066688199</v>
      </c>
      <c r="G479" s="14">
        <f t="shared" si="58"/>
        <v>6.1858518811381311E-2</v>
      </c>
    </row>
    <row r="480" spans="1:7" ht="15" customHeight="1" outlineLevel="3" x14ac:dyDescent="0.25">
      <c r="A480" s="10" t="s">
        <v>14</v>
      </c>
      <c r="B480" s="11">
        <v>74803</v>
      </c>
      <c r="C480" s="30">
        <v>13674</v>
      </c>
      <c r="D480" s="11">
        <v>7875.06</v>
      </c>
      <c r="E480" s="11">
        <v>7875.06</v>
      </c>
      <c r="F480" s="14">
        <f t="shared" si="52"/>
        <v>0.57591487494515137</v>
      </c>
      <c r="G480" s="14">
        <f t="shared" si="58"/>
        <v>0.10527732844939375</v>
      </c>
    </row>
    <row r="481" spans="1:7" ht="15" customHeight="1" outlineLevel="3" x14ac:dyDescent="0.25">
      <c r="A481" s="10" t="s">
        <v>15</v>
      </c>
      <c r="B481" s="11">
        <v>770161</v>
      </c>
      <c r="C481" s="30">
        <v>152999</v>
      </c>
      <c r="D481" s="11">
        <v>25567.93</v>
      </c>
      <c r="E481" s="11">
        <v>25567.93</v>
      </c>
      <c r="F481" s="14">
        <f t="shared" si="52"/>
        <v>0.1671117458284041</v>
      </c>
      <c r="G481" s="14">
        <f t="shared" si="58"/>
        <v>3.3198162462134542E-2</v>
      </c>
    </row>
    <row r="482" spans="1:7" ht="15" customHeight="1" outlineLevel="3" x14ac:dyDescent="0.25">
      <c r="A482" s="10" t="s">
        <v>26</v>
      </c>
      <c r="B482" s="11">
        <v>45000</v>
      </c>
      <c r="C482" s="30">
        <v>7496</v>
      </c>
      <c r="D482" s="11">
        <v>6027.12</v>
      </c>
      <c r="E482" s="11">
        <v>6027.12</v>
      </c>
      <c r="F482" s="14">
        <f t="shared" si="52"/>
        <v>0.80404482390608323</v>
      </c>
      <c r="G482" s="14">
        <f t="shared" si="58"/>
        <v>0.133936</v>
      </c>
    </row>
    <row r="483" spans="1:7" ht="15" customHeight="1" outlineLevel="3" x14ac:dyDescent="0.25">
      <c r="A483" s="51" t="s">
        <v>57</v>
      </c>
      <c r="B483" s="11">
        <v>1300000</v>
      </c>
      <c r="C483" s="30"/>
      <c r="D483" s="11"/>
      <c r="E483" s="11"/>
      <c r="F483" s="14"/>
      <c r="G483" s="14"/>
    </row>
    <row r="484" spans="1:7" s="18" customFormat="1" ht="26.1" customHeight="1" outlineLevel="1" x14ac:dyDescent="0.2">
      <c r="A484" s="28" t="s">
        <v>87</v>
      </c>
      <c r="B484" s="22">
        <f>B485</f>
        <v>10907467</v>
      </c>
      <c r="C484" s="22">
        <f t="shared" ref="C484:E484" si="59">C485</f>
        <v>1899877</v>
      </c>
      <c r="D484" s="22">
        <f t="shared" si="59"/>
        <v>1305969.31</v>
      </c>
      <c r="E484" s="22">
        <f t="shared" si="59"/>
        <v>1305969.31</v>
      </c>
      <c r="F484" s="23">
        <f t="shared" si="52"/>
        <v>0.68739676831710683</v>
      </c>
      <c r="G484" s="23">
        <f t="shared" si="58"/>
        <v>0.11973167647447387</v>
      </c>
    </row>
    <row r="485" spans="1:7" ht="28.5" customHeight="1" outlineLevel="2" x14ac:dyDescent="0.25">
      <c r="A485" s="5" t="s">
        <v>25</v>
      </c>
      <c r="B485" s="6">
        <f>SUM(B486:B493)</f>
        <v>10907467</v>
      </c>
      <c r="C485" s="6">
        <f t="shared" ref="C485:E485" si="60">SUM(C486:C493)</f>
        <v>1899877</v>
      </c>
      <c r="D485" s="6">
        <f t="shared" si="60"/>
        <v>1305969.31</v>
      </c>
      <c r="E485" s="6">
        <f t="shared" si="60"/>
        <v>1305969.31</v>
      </c>
      <c r="F485" s="7">
        <f t="shared" si="52"/>
        <v>0.68739676831710683</v>
      </c>
      <c r="G485" s="7">
        <f t="shared" si="58"/>
        <v>0.11973167647447387</v>
      </c>
    </row>
    <row r="486" spans="1:7" ht="15.75" customHeight="1" outlineLevel="3" x14ac:dyDescent="0.25">
      <c r="A486" s="10" t="s">
        <v>9</v>
      </c>
      <c r="B486" s="11">
        <v>6413107</v>
      </c>
      <c r="C486" s="30">
        <v>1014000</v>
      </c>
      <c r="D486" s="11">
        <v>1008352.18</v>
      </c>
      <c r="E486" s="11">
        <v>1008352.18</v>
      </c>
      <c r="F486" s="14">
        <f t="shared" si="52"/>
        <v>0.99443015779092703</v>
      </c>
      <c r="G486" s="14">
        <f t="shared" si="58"/>
        <v>0.15723301981395291</v>
      </c>
    </row>
    <row r="487" spans="1:7" ht="15.75" customHeight="1" outlineLevel="3" x14ac:dyDescent="0.25">
      <c r="A487" s="10" t="s">
        <v>10</v>
      </c>
      <c r="B487" s="11">
        <v>1410883</v>
      </c>
      <c r="C487" s="30">
        <v>223080</v>
      </c>
      <c r="D487" s="11">
        <v>204377.26</v>
      </c>
      <c r="E487" s="11">
        <v>204377.26</v>
      </c>
      <c r="F487" s="14">
        <f t="shared" si="52"/>
        <v>0.91616128743051828</v>
      </c>
      <c r="G487" s="14">
        <f t="shared" si="58"/>
        <v>0.14485769549991034</v>
      </c>
    </row>
    <row r="488" spans="1:7" ht="15.75" customHeight="1" outlineLevel="3" x14ac:dyDescent="0.25">
      <c r="A488" s="10" t="s">
        <v>11</v>
      </c>
      <c r="B488" s="11">
        <v>400000</v>
      </c>
      <c r="C488" s="30">
        <v>18000</v>
      </c>
      <c r="D488" s="11">
        <v>11700</v>
      </c>
      <c r="E488" s="11">
        <v>11700</v>
      </c>
      <c r="F488" s="14">
        <f t="shared" si="52"/>
        <v>0.65</v>
      </c>
      <c r="G488" s="14">
        <f t="shared" si="58"/>
        <v>2.9250000000000002E-2</v>
      </c>
    </row>
    <row r="489" spans="1:7" ht="15.75" customHeight="1" outlineLevel="3" x14ac:dyDescent="0.25">
      <c r="A489" s="10" t="s">
        <v>12</v>
      </c>
      <c r="B489" s="11">
        <v>794664</v>
      </c>
      <c r="C489" s="30">
        <v>45000</v>
      </c>
      <c r="D489" s="11">
        <v>10899.98</v>
      </c>
      <c r="E489" s="11">
        <v>10899.98</v>
      </c>
      <c r="F489" s="14">
        <f t="shared" si="52"/>
        <v>0.24222177777777776</v>
      </c>
      <c r="G489" s="14">
        <f t="shared" si="58"/>
        <v>1.3716463813636958E-2</v>
      </c>
    </row>
    <row r="490" spans="1:7" ht="15.75" customHeight="1" outlineLevel="3" x14ac:dyDescent="0.25">
      <c r="A490" s="10" t="s">
        <v>13</v>
      </c>
      <c r="B490" s="11">
        <v>1329702</v>
      </c>
      <c r="C490" s="30">
        <v>463831</v>
      </c>
      <c r="D490" s="11">
        <v>32786.730000000003</v>
      </c>
      <c r="E490" s="11">
        <v>32786.730000000003</v>
      </c>
      <c r="F490" s="14">
        <f t="shared" si="52"/>
        <v>7.0686801873958413E-2</v>
      </c>
      <c r="G490" s="14">
        <f t="shared" si="58"/>
        <v>2.4657201387980165E-2</v>
      </c>
    </row>
    <row r="491" spans="1:7" ht="15.75" customHeight="1" outlineLevel="3" x14ac:dyDescent="0.25">
      <c r="A491" s="10" t="s">
        <v>14</v>
      </c>
      <c r="B491" s="11">
        <v>68121</v>
      </c>
      <c r="C491" s="30">
        <v>11510</v>
      </c>
      <c r="D491" s="11">
        <v>5039.1000000000004</v>
      </c>
      <c r="E491" s="11">
        <v>5039.1000000000004</v>
      </c>
      <c r="F491" s="14">
        <f t="shared" ref="F491:F553" si="61">D491/C491</f>
        <v>0.4378019113814075</v>
      </c>
      <c r="G491" s="14">
        <f t="shared" si="58"/>
        <v>7.3972783723080998E-2</v>
      </c>
    </row>
    <row r="492" spans="1:7" ht="15.75" customHeight="1" outlineLevel="3" x14ac:dyDescent="0.25">
      <c r="A492" s="10" t="s">
        <v>15</v>
      </c>
      <c r="B492" s="11">
        <v>471490</v>
      </c>
      <c r="C492" s="30">
        <v>121206</v>
      </c>
      <c r="D492" s="11">
        <v>31758.37</v>
      </c>
      <c r="E492" s="11">
        <v>31758.37</v>
      </c>
      <c r="F492" s="14">
        <f t="shared" si="61"/>
        <v>0.26201978449911717</v>
      </c>
      <c r="G492" s="14">
        <f t="shared" si="58"/>
        <v>6.7357462512460498E-2</v>
      </c>
    </row>
    <row r="493" spans="1:7" ht="15.75" customHeight="1" outlineLevel="3" x14ac:dyDescent="0.25">
      <c r="A493" s="10" t="s">
        <v>26</v>
      </c>
      <c r="B493" s="11">
        <v>19500</v>
      </c>
      <c r="C493" s="30">
        <v>3250</v>
      </c>
      <c r="D493" s="11">
        <v>1055.69</v>
      </c>
      <c r="E493" s="11">
        <v>1055.69</v>
      </c>
      <c r="F493" s="14">
        <f t="shared" si="61"/>
        <v>0.32482769230769232</v>
      </c>
      <c r="G493" s="14">
        <f t="shared" si="58"/>
        <v>5.413794871794872E-2</v>
      </c>
    </row>
    <row r="494" spans="1:7" s="18" customFormat="1" ht="27.75" customHeight="1" outlineLevel="1" x14ac:dyDescent="0.2">
      <c r="A494" s="28" t="s">
        <v>88</v>
      </c>
      <c r="B494" s="22">
        <f>B495</f>
        <v>4444243</v>
      </c>
      <c r="C494" s="22">
        <f t="shared" ref="C494:E494" si="62">C495</f>
        <v>706987</v>
      </c>
      <c r="D494" s="22">
        <f t="shared" si="62"/>
        <v>671006.41999999993</v>
      </c>
      <c r="E494" s="22">
        <f t="shared" si="62"/>
        <v>671006.41999999993</v>
      </c>
      <c r="F494" s="23">
        <f t="shared" si="61"/>
        <v>0.94910715472844609</v>
      </c>
      <c r="G494" s="23">
        <f t="shared" si="58"/>
        <v>0.15098328781752032</v>
      </c>
    </row>
    <row r="495" spans="1:7" ht="27.75" customHeight="1" outlineLevel="2" x14ac:dyDescent="0.25">
      <c r="A495" s="5" t="s">
        <v>25</v>
      </c>
      <c r="B495" s="6">
        <f>SUM(B496:B503)</f>
        <v>4444243</v>
      </c>
      <c r="C495" s="6">
        <f t="shared" ref="C495:E495" si="63">SUM(C496:C503)</f>
        <v>706987</v>
      </c>
      <c r="D495" s="6">
        <f t="shared" si="63"/>
        <v>671006.41999999993</v>
      </c>
      <c r="E495" s="6">
        <f t="shared" si="63"/>
        <v>671006.41999999993</v>
      </c>
      <c r="F495" s="7">
        <f t="shared" si="61"/>
        <v>0.94910715472844609</v>
      </c>
      <c r="G495" s="7">
        <f t="shared" si="58"/>
        <v>0.15098328781752032</v>
      </c>
    </row>
    <row r="496" spans="1:7" ht="14.25" customHeight="1" outlineLevel="3" x14ac:dyDescent="0.25">
      <c r="A496" s="10" t="s">
        <v>9</v>
      </c>
      <c r="B496" s="11">
        <v>3352525</v>
      </c>
      <c r="C496" s="30">
        <v>526000</v>
      </c>
      <c r="D496" s="11">
        <v>524620.23</v>
      </c>
      <c r="E496" s="11">
        <v>524620.23</v>
      </c>
      <c r="F496" s="14">
        <f t="shared" si="61"/>
        <v>0.99737686311787066</v>
      </c>
      <c r="G496" s="14">
        <f t="shared" si="58"/>
        <v>0.15648510600219237</v>
      </c>
    </row>
    <row r="497" spans="1:7" ht="13.5" customHeight="1" outlineLevel="3" x14ac:dyDescent="0.25">
      <c r="A497" s="10" t="s">
        <v>10</v>
      </c>
      <c r="B497" s="11">
        <v>737556</v>
      </c>
      <c r="C497" s="30">
        <v>115720</v>
      </c>
      <c r="D497" s="11">
        <v>115416.48</v>
      </c>
      <c r="E497" s="11">
        <v>115416.48</v>
      </c>
      <c r="F497" s="14">
        <f t="shared" si="61"/>
        <v>0.99737711717939848</v>
      </c>
      <c r="G497" s="14">
        <f t="shared" si="58"/>
        <v>0.15648503978003026</v>
      </c>
    </row>
    <row r="498" spans="1:7" ht="13.5" customHeight="1" outlineLevel="3" x14ac:dyDescent="0.25">
      <c r="A498" s="10" t="s">
        <v>11</v>
      </c>
      <c r="B498" s="11">
        <v>50000</v>
      </c>
      <c r="C498" s="30"/>
      <c r="D498" s="11"/>
      <c r="E498" s="11"/>
      <c r="F498" s="14">
        <v>0</v>
      </c>
      <c r="G498" s="14">
        <f t="shared" si="58"/>
        <v>0</v>
      </c>
    </row>
    <row r="499" spans="1:7" ht="13.5" customHeight="1" outlineLevel="3" x14ac:dyDescent="0.25">
      <c r="A499" s="10" t="s">
        <v>12</v>
      </c>
      <c r="B499" s="11">
        <v>230000</v>
      </c>
      <c r="C499" s="30">
        <v>45000</v>
      </c>
      <c r="D499" s="11">
        <v>28324.98</v>
      </c>
      <c r="E499" s="11">
        <v>28324.98</v>
      </c>
      <c r="F499" s="14">
        <f t="shared" si="61"/>
        <v>0.629444</v>
      </c>
      <c r="G499" s="14">
        <f t="shared" si="58"/>
        <v>0.12315208695652173</v>
      </c>
    </row>
    <row r="500" spans="1:7" ht="13.5" customHeight="1" outlineLevel="3" x14ac:dyDescent="0.25">
      <c r="A500" s="10" t="s">
        <v>13</v>
      </c>
      <c r="B500" s="11">
        <v>33548</v>
      </c>
      <c r="C500" s="30">
        <v>11637</v>
      </c>
      <c r="D500" s="11"/>
      <c r="E500" s="11"/>
      <c r="F500" s="14">
        <f t="shared" si="61"/>
        <v>0</v>
      </c>
      <c r="G500" s="14">
        <f t="shared" si="58"/>
        <v>0</v>
      </c>
    </row>
    <row r="501" spans="1:7" ht="13.5" customHeight="1" outlineLevel="3" x14ac:dyDescent="0.25">
      <c r="A501" s="10" t="s">
        <v>14</v>
      </c>
      <c r="B501" s="11">
        <v>3664</v>
      </c>
      <c r="C501" s="30">
        <v>594</v>
      </c>
      <c r="D501" s="11">
        <v>581.62</v>
      </c>
      <c r="E501" s="11">
        <v>581.62</v>
      </c>
      <c r="F501" s="14">
        <f t="shared" si="61"/>
        <v>0.97915824915824912</v>
      </c>
      <c r="G501" s="14">
        <f t="shared" si="58"/>
        <v>0.15873908296943232</v>
      </c>
    </row>
    <row r="502" spans="1:7" ht="13.5" customHeight="1" outlineLevel="3" x14ac:dyDescent="0.25">
      <c r="A502" s="10" t="s">
        <v>15</v>
      </c>
      <c r="B502" s="11">
        <v>33750</v>
      </c>
      <c r="C502" s="30">
        <v>7500</v>
      </c>
      <c r="D502" s="11">
        <v>1755.12</v>
      </c>
      <c r="E502" s="11">
        <v>1755.12</v>
      </c>
      <c r="F502" s="14">
        <f t="shared" si="61"/>
        <v>0.23401599999999997</v>
      </c>
      <c r="G502" s="14">
        <f t="shared" si="58"/>
        <v>5.2003555555555553E-2</v>
      </c>
    </row>
    <row r="503" spans="1:7" ht="13.5" customHeight="1" outlineLevel="3" x14ac:dyDescent="0.25">
      <c r="A503" s="10" t="s">
        <v>26</v>
      </c>
      <c r="B503" s="11">
        <v>3200</v>
      </c>
      <c r="C503" s="30">
        <v>536</v>
      </c>
      <c r="D503" s="11">
        <v>307.99</v>
      </c>
      <c r="E503" s="11">
        <v>307.99</v>
      </c>
      <c r="F503" s="14">
        <f t="shared" si="61"/>
        <v>0.57460820895522391</v>
      </c>
      <c r="G503" s="14">
        <f t="shared" si="58"/>
        <v>9.624687500000001E-2</v>
      </c>
    </row>
    <row r="504" spans="1:7" ht="16.5" customHeight="1" outlineLevel="3" x14ac:dyDescent="0.25">
      <c r="A504" s="24" t="s">
        <v>49</v>
      </c>
      <c r="B504" s="25">
        <f>B505+B551</f>
        <v>60535436</v>
      </c>
      <c r="C504" s="25">
        <f t="shared" ref="C504:E504" si="64">C505+C551</f>
        <v>10170896</v>
      </c>
      <c r="D504" s="25">
        <f t="shared" si="64"/>
        <v>8590502.8399999999</v>
      </c>
      <c r="E504" s="25">
        <f t="shared" si="64"/>
        <v>8590502.8399999999</v>
      </c>
      <c r="F504" s="39">
        <f t="shared" si="61"/>
        <v>0.84461613214804276</v>
      </c>
      <c r="G504" s="39">
        <f t="shared" si="58"/>
        <v>0.14190866387746839</v>
      </c>
    </row>
    <row r="505" spans="1:7" ht="39" customHeight="1" outlineLevel="1" x14ac:dyDescent="0.25">
      <c r="A505" s="28" t="s">
        <v>89</v>
      </c>
      <c r="B505" s="22">
        <f>B506+B517+B528+B540</f>
        <v>60415436</v>
      </c>
      <c r="C505" s="22">
        <f t="shared" ref="C505:E505" si="65">C506+C517+C528+C540</f>
        <v>10110896</v>
      </c>
      <c r="D505" s="22">
        <f t="shared" si="65"/>
        <v>8551302.8399999999</v>
      </c>
      <c r="E505" s="22">
        <f t="shared" si="65"/>
        <v>8551302.8399999999</v>
      </c>
      <c r="F505" s="23">
        <f t="shared" si="61"/>
        <v>0.84575124103739174</v>
      </c>
      <c r="G505" s="23">
        <f t="shared" si="58"/>
        <v>0.14154168878297924</v>
      </c>
    </row>
    <row r="506" spans="1:7" ht="15" customHeight="1" outlineLevel="2" x14ac:dyDescent="0.25">
      <c r="A506" s="5" t="s">
        <v>50</v>
      </c>
      <c r="B506" s="6">
        <v>14990964</v>
      </c>
      <c r="C506" s="6">
        <v>2504962</v>
      </c>
      <c r="D506" s="6">
        <v>1962651.48</v>
      </c>
      <c r="E506" s="6">
        <v>1962651.48</v>
      </c>
      <c r="F506" s="7">
        <f t="shared" si="61"/>
        <v>0.78350549030284689</v>
      </c>
      <c r="G506" s="7">
        <f t="shared" si="58"/>
        <v>0.13092229959327498</v>
      </c>
    </row>
    <row r="507" spans="1:7" ht="13.5" customHeight="1" outlineLevel="3" x14ac:dyDescent="0.25">
      <c r="A507" s="10" t="s">
        <v>9</v>
      </c>
      <c r="B507" s="11">
        <v>9875516</v>
      </c>
      <c r="C507" s="11">
        <v>1570000</v>
      </c>
      <c r="D507" s="11">
        <v>1569891.45</v>
      </c>
      <c r="E507" s="11">
        <v>1569891.45</v>
      </c>
      <c r="F507" s="14">
        <f t="shared" si="61"/>
        <v>0.99993085987261143</v>
      </c>
      <c r="G507" s="14">
        <f t="shared" si="58"/>
        <v>0.15896804278378973</v>
      </c>
    </row>
    <row r="508" spans="1:7" ht="13.5" customHeight="1" outlineLevel="3" x14ac:dyDescent="0.25">
      <c r="A508" s="10" t="s">
        <v>10</v>
      </c>
      <c r="B508" s="11">
        <v>2172614</v>
      </c>
      <c r="C508" s="11">
        <v>345400</v>
      </c>
      <c r="D508" s="11">
        <v>342698.55</v>
      </c>
      <c r="E508" s="11">
        <v>342698.55</v>
      </c>
      <c r="F508" s="14">
        <f t="shared" si="61"/>
        <v>0.99217877822814127</v>
      </c>
      <c r="G508" s="14">
        <f t="shared" si="58"/>
        <v>0.15773558947884897</v>
      </c>
    </row>
    <row r="509" spans="1:7" ht="13.5" customHeight="1" outlineLevel="3" x14ac:dyDescent="0.25">
      <c r="A509" s="10" t="s">
        <v>11</v>
      </c>
      <c r="B509" s="11">
        <v>236300</v>
      </c>
      <c r="C509" s="11">
        <v>52300</v>
      </c>
      <c r="D509" s="11"/>
      <c r="E509" s="11"/>
      <c r="F509" s="14">
        <v>0</v>
      </c>
      <c r="G509" s="14">
        <f t="shared" si="58"/>
        <v>0</v>
      </c>
    </row>
    <row r="510" spans="1:7" ht="13.5" customHeight="1" outlineLevel="3" x14ac:dyDescent="0.25">
      <c r="A510" s="10" t="s">
        <v>12</v>
      </c>
      <c r="B510" s="11">
        <v>654559</v>
      </c>
      <c r="C510" s="11">
        <v>189559</v>
      </c>
      <c r="D510" s="11">
        <v>22314.799999999999</v>
      </c>
      <c r="E510" s="11">
        <v>22314.799999999999</v>
      </c>
      <c r="F510" s="14">
        <f t="shared" si="61"/>
        <v>0.11771954905860445</v>
      </c>
      <c r="G510" s="14">
        <f t="shared" si="58"/>
        <v>3.4091350054005827E-2</v>
      </c>
    </row>
    <row r="511" spans="1:7" ht="13.5" customHeight="1" outlineLevel="3" x14ac:dyDescent="0.25">
      <c r="A511" s="10" t="s">
        <v>21</v>
      </c>
      <c r="B511" s="11">
        <v>545000</v>
      </c>
      <c r="C511" s="11">
        <v>50000</v>
      </c>
      <c r="D511" s="11"/>
      <c r="E511" s="11"/>
      <c r="F511" s="14">
        <v>0</v>
      </c>
      <c r="G511" s="14">
        <f t="shared" si="58"/>
        <v>0</v>
      </c>
    </row>
    <row r="512" spans="1:7" ht="13.5" customHeight="1" outlineLevel="3" x14ac:dyDescent="0.25">
      <c r="A512" s="10" t="s">
        <v>13</v>
      </c>
      <c r="B512" s="11">
        <v>444732</v>
      </c>
      <c r="C512" s="11">
        <v>170489</v>
      </c>
      <c r="D512" s="11"/>
      <c r="E512" s="11"/>
      <c r="F512" s="14">
        <f t="shared" si="61"/>
        <v>0</v>
      </c>
      <c r="G512" s="14">
        <f t="shared" si="58"/>
        <v>0</v>
      </c>
    </row>
    <row r="513" spans="1:7" ht="13.5" customHeight="1" outlineLevel="3" x14ac:dyDescent="0.25">
      <c r="A513" s="10" t="s">
        <v>14</v>
      </c>
      <c r="B513" s="11">
        <v>158055</v>
      </c>
      <c r="C513" s="11">
        <v>22404</v>
      </c>
      <c r="D513" s="11">
        <v>412.22</v>
      </c>
      <c r="E513" s="11">
        <v>412.22</v>
      </c>
      <c r="F513" s="14">
        <f t="shared" si="61"/>
        <v>1.8399392965541869E-2</v>
      </c>
      <c r="G513" s="14">
        <f t="shared" si="58"/>
        <v>2.608079466008668E-3</v>
      </c>
    </row>
    <row r="514" spans="1:7" ht="13.5" customHeight="1" outlineLevel="3" x14ac:dyDescent="0.25">
      <c r="A514" s="10" t="s">
        <v>15</v>
      </c>
      <c r="B514" s="11">
        <v>515954</v>
      </c>
      <c r="C514" s="11">
        <v>101618</v>
      </c>
      <c r="D514" s="11">
        <v>26303.46</v>
      </c>
      <c r="E514" s="11">
        <v>26303.46</v>
      </c>
      <c r="F514" s="14">
        <f t="shared" si="61"/>
        <v>0.25884646420909679</v>
      </c>
      <c r="G514" s="14">
        <f t="shared" si="58"/>
        <v>5.0980242424712281E-2</v>
      </c>
    </row>
    <row r="515" spans="1:7" ht="13.5" customHeight="1" outlineLevel="3" x14ac:dyDescent="0.25">
      <c r="A515" s="10" t="s">
        <v>26</v>
      </c>
      <c r="B515" s="11">
        <v>21734</v>
      </c>
      <c r="C515" s="11">
        <v>3192</v>
      </c>
      <c r="D515" s="11">
        <v>1031</v>
      </c>
      <c r="E515" s="11">
        <v>1031</v>
      </c>
      <c r="F515" s="14">
        <f t="shared" si="61"/>
        <v>0.32299498746867167</v>
      </c>
      <c r="G515" s="14">
        <f t="shared" si="58"/>
        <v>4.7437195178062025E-2</v>
      </c>
    </row>
    <row r="516" spans="1:7" ht="13.5" customHeight="1" outlineLevel="3" x14ac:dyDescent="0.25">
      <c r="A516" s="10" t="s">
        <v>56</v>
      </c>
      <c r="B516" s="11">
        <v>366500</v>
      </c>
      <c r="C516" s="11"/>
      <c r="D516" s="11"/>
      <c r="E516" s="11"/>
      <c r="F516" s="14">
        <v>0</v>
      </c>
      <c r="G516" s="14">
        <f t="shared" si="58"/>
        <v>0</v>
      </c>
    </row>
    <row r="517" spans="1:7" ht="16.5" customHeight="1" outlineLevel="2" x14ac:dyDescent="0.25">
      <c r="A517" s="5" t="s">
        <v>51</v>
      </c>
      <c r="B517" s="6">
        <v>19156129</v>
      </c>
      <c r="C517" s="6">
        <v>3491240</v>
      </c>
      <c r="D517" s="6">
        <v>3244642.92</v>
      </c>
      <c r="E517" s="6">
        <v>3244642.92</v>
      </c>
      <c r="F517" s="7">
        <f t="shared" si="61"/>
        <v>0.92936690688695134</v>
      </c>
      <c r="G517" s="7">
        <f t="shared" si="58"/>
        <v>0.16937884057890817</v>
      </c>
    </row>
    <row r="518" spans="1:7" ht="14.25" customHeight="1" outlineLevel="3" x14ac:dyDescent="0.25">
      <c r="A518" s="10" t="s">
        <v>9</v>
      </c>
      <c r="B518" s="11">
        <v>14230943</v>
      </c>
      <c r="C518" s="11">
        <v>2571822</v>
      </c>
      <c r="D518" s="11">
        <v>2570195.58</v>
      </c>
      <c r="E518" s="11">
        <v>2570195.58</v>
      </c>
      <c r="F518" s="14">
        <f t="shared" si="61"/>
        <v>0.9993676000905195</v>
      </c>
      <c r="G518" s="14">
        <f t="shared" si="58"/>
        <v>0.18060613270673631</v>
      </c>
    </row>
    <row r="519" spans="1:7" ht="14.25" customHeight="1" outlineLevel="3" x14ac:dyDescent="0.25">
      <c r="A519" s="10" t="s">
        <v>10</v>
      </c>
      <c r="B519" s="11">
        <v>3130807</v>
      </c>
      <c r="C519" s="11">
        <v>565800</v>
      </c>
      <c r="D519" s="11">
        <v>562717.14</v>
      </c>
      <c r="E519" s="11">
        <v>562717.14</v>
      </c>
      <c r="F519" s="14">
        <f t="shared" si="61"/>
        <v>0.99455132555673387</v>
      </c>
      <c r="G519" s="14">
        <f t="shared" si="58"/>
        <v>0.17973549311726977</v>
      </c>
    </row>
    <row r="520" spans="1:7" ht="14.25" customHeight="1" outlineLevel="3" x14ac:dyDescent="0.25">
      <c r="A520" s="10" t="s">
        <v>11</v>
      </c>
      <c r="B520" s="11">
        <v>186200</v>
      </c>
      <c r="C520" s="11"/>
      <c r="D520" s="11"/>
      <c r="E520" s="11"/>
      <c r="F520" s="14">
        <v>0</v>
      </c>
      <c r="G520" s="14">
        <f t="shared" si="58"/>
        <v>0</v>
      </c>
    </row>
    <row r="521" spans="1:7" ht="14.25" customHeight="1" outlineLevel="3" x14ac:dyDescent="0.25">
      <c r="A521" s="10" t="s">
        <v>12</v>
      </c>
      <c r="B521" s="11">
        <v>413800</v>
      </c>
      <c r="C521" s="11">
        <v>68970</v>
      </c>
      <c r="D521" s="11">
        <v>17183.72</v>
      </c>
      <c r="E521" s="11">
        <v>17183.72</v>
      </c>
      <c r="F521" s="14">
        <f t="shared" si="61"/>
        <v>0.24914774539654924</v>
      </c>
      <c r="G521" s="14">
        <f t="shared" si="58"/>
        <v>4.1526631222812957E-2</v>
      </c>
    </row>
    <row r="522" spans="1:7" ht="14.25" customHeight="1" outlineLevel="3" x14ac:dyDescent="0.25">
      <c r="A522" s="10" t="s">
        <v>21</v>
      </c>
      <c r="B522" s="11">
        <v>490000</v>
      </c>
      <c r="C522" s="11">
        <v>98000</v>
      </c>
      <c r="D522" s="11">
        <v>17578.099999999999</v>
      </c>
      <c r="E522" s="11">
        <v>17578.099999999999</v>
      </c>
      <c r="F522" s="14">
        <f t="shared" si="61"/>
        <v>0.17936836734693876</v>
      </c>
      <c r="G522" s="14">
        <f t="shared" si="58"/>
        <v>3.5873673469387753E-2</v>
      </c>
    </row>
    <row r="523" spans="1:7" ht="14.25" customHeight="1" outlineLevel="3" x14ac:dyDescent="0.25">
      <c r="A523" s="10" t="s">
        <v>13</v>
      </c>
      <c r="B523" s="11">
        <v>408450</v>
      </c>
      <c r="C523" s="11">
        <v>144819</v>
      </c>
      <c r="D523" s="11">
        <v>62299.519999999997</v>
      </c>
      <c r="E523" s="11">
        <v>62299.519999999997</v>
      </c>
      <c r="F523" s="14">
        <f t="shared" si="61"/>
        <v>0.43018885643458382</v>
      </c>
      <c r="G523" s="14">
        <f t="shared" si="58"/>
        <v>0.15252667401150691</v>
      </c>
    </row>
    <row r="524" spans="1:7" ht="14.25" customHeight="1" outlineLevel="3" x14ac:dyDescent="0.25">
      <c r="A524" s="10" t="s">
        <v>14</v>
      </c>
      <c r="B524" s="11">
        <v>32834</v>
      </c>
      <c r="C524" s="11">
        <v>5474</v>
      </c>
      <c r="D524" s="11">
        <v>547.39</v>
      </c>
      <c r="E524" s="11">
        <v>547.39</v>
      </c>
      <c r="F524" s="14">
        <f t="shared" si="61"/>
        <v>9.9998173182316408E-2</v>
      </c>
      <c r="G524" s="14">
        <f t="shared" si="58"/>
        <v>1.6671438143387951E-2</v>
      </c>
    </row>
    <row r="525" spans="1:7" ht="14.25" customHeight="1" outlineLevel="3" x14ac:dyDescent="0.25">
      <c r="A525" s="10" t="s">
        <v>15</v>
      </c>
      <c r="B525" s="11">
        <v>191095</v>
      </c>
      <c r="C525" s="11">
        <v>31855</v>
      </c>
      <c r="D525" s="11">
        <v>12059.47</v>
      </c>
      <c r="E525" s="11">
        <v>12059.47</v>
      </c>
      <c r="F525" s="14">
        <f t="shared" si="61"/>
        <v>0.37857385025898599</v>
      </c>
      <c r="G525" s="14">
        <f t="shared" si="58"/>
        <v>6.3107197990528274E-2</v>
      </c>
    </row>
    <row r="526" spans="1:7" ht="14.25" customHeight="1" outlineLevel="3" x14ac:dyDescent="0.25">
      <c r="A526" s="10" t="s">
        <v>26</v>
      </c>
      <c r="B526" s="11">
        <v>27000</v>
      </c>
      <c r="C526" s="11">
        <v>4500</v>
      </c>
      <c r="D526" s="11">
        <v>2062</v>
      </c>
      <c r="E526" s="11">
        <v>2062</v>
      </c>
      <c r="F526" s="14">
        <f t="shared" si="61"/>
        <v>0.4582222222222222</v>
      </c>
      <c r="G526" s="14">
        <f t="shared" si="58"/>
        <v>7.6370370370370366E-2</v>
      </c>
    </row>
    <row r="527" spans="1:7" ht="14.25" customHeight="1" outlineLevel="3" x14ac:dyDescent="0.25">
      <c r="A527" s="10" t="s">
        <v>56</v>
      </c>
      <c r="B527" s="11">
        <v>45000</v>
      </c>
      <c r="C527" s="11"/>
      <c r="D527" s="11"/>
      <c r="E527" s="11"/>
      <c r="F527" s="14">
        <v>0</v>
      </c>
      <c r="G527" s="14">
        <f t="shared" si="58"/>
        <v>0</v>
      </c>
    </row>
    <row r="528" spans="1:7" ht="14.25" customHeight="1" outlineLevel="2" x14ac:dyDescent="0.25">
      <c r="A528" s="5" t="s">
        <v>98</v>
      </c>
      <c r="B528" s="6">
        <v>11496447</v>
      </c>
      <c r="C528" s="6">
        <v>1718232</v>
      </c>
      <c r="D528" s="6">
        <v>1476368.86</v>
      </c>
      <c r="E528" s="6">
        <v>1476368.86</v>
      </c>
      <c r="F528" s="7">
        <f t="shared" si="61"/>
        <v>0.85923720428906003</v>
      </c>
      <c r="G528" s="7">
        <f t="shared" si="58"/>
        <v>0.12841957693537839</v>
      </c>
    </row>
    <row r="529" spans="1:7" ht="13.5" customHeight="1" outlineLevel="3" x14ac:dyDescent="0.25">
      <c r="A529" s="10" t="s">
        <v>9</v>
      </c>
      <c r="B529" s="11">
        <v>8357738</v>
      </c>
      <c r="C529" s="11">
        <v>1240000</v>
      </c>
      <c r="D529" s="11">
        <v>1183145.6299999999</v>
      </c>
      <c r="E529" s="11">
        <v>1183145.6299999999</v>
      </c>
      <c r="F529" s="14">
        <f t="shared" si="61"/>
        <v>0.95414970161290313</v>
      </c>
      <c r="G529" s="14">
        <f t="shared" si="58"/>
        <v>0.14156290015312753</v>
      </c>
    </row>
    <row r="530" spans="1:7" ht="13.5" customHeight="1" outlineLevel="3" x14ac:dyDescent="0.25">
      <c r="A530" s="10" t="s">
        <v>10</v>
      </c>
      <c r="B530" s="11">
        <v>1838703</v>
      </c>
      <c r="C530" s="11">
        <v>272800</v>
      </c>
      <c r="D530" s="11">
        <v>261945.87</v>
      </c>
      <c r="E530" s="11">
        <v>261945.87</v>
      </c>
      <c r="F530" s="14">
        <f t="shared" si="61"/>
        <v>0.96021213343108502</v>
      </c>
      <c r="G530" s="14">
        <f t="shared" si="58"/>
        <v>0.14246230631048082</v>
      </c>
    </row>
    <row r="531" spans="1:7" ht="13.5" customHeight="1" outlineLevel="3" x14ac:dyDescent="0.25">
      <c r="A531" s="10" t="s">
        <v>11</v>
      </c>
      <c r="B531" s="11">
        <v>40300</v>
      </c>
      <c r="C531" s="11"/>
      <c r="D531" s="11"/>
      <c r="E531" s="11"/>
      <c r="F531" s="14">
        <v>0</v>
      </c>
      <c r="G531" s="14">
        <f t="shared" si="58"/>
        <v>0</v>
      </c>
    </row>
    <row r="532" spans="1:7" ht="13.5" customHeight="1" outlineLevel="3" x14ac:dyDescent="0.25">
      <c r="A532" s="10" t="s">
        <v>12</v>
      </c>
      <c r="B532" s="11">
        <v>527800</v>
      </c>
      <c r="C532" s="11">
        <v>50000</v>
      </c>
      <c r="D532" s="11">
        <v>14957.4</v>
      </c>
      <c r="E532" s="11">
        <v>14957.4</v>
      </c>
      <c r="F532" s="14">
        <f t="shared" si="61"/>
        <v>0.29914799999999997</v>
      </c>
      <c r="G532" s="14">
        <f t="shared" si="58"/>
        <v>2.8339143615005682E-2</v>
      </c>
    </row>
    <row r="533" spans="1:7" ht="13.5" customHeight="1" outlineLevel="3" x14ac:dyDescent="0.25">
      <c r="A533" s="10" t="s">
        <v>21</v>
      </c>
      <c r="B533" s="11">
        <v>150000</v>
      </c>
      <c r="C533" s="11">
        <v>30000</v>
      </c>
      <c r="D533" s="11">
        <v>12903.94</v>
      </c>
      <c r="E533" s="11">
        <v>12903.94</v>
      </c>
      <c r="F533" s="14">
        <f t="shared" si="61"/>
        <v>0.43013133333333337</v>
      </c>
      <c r="G533" s="14">
        <f t="shared" si="58"/>
        <v>8.602626666666667E-2</v>
      </c>
    </row>
    <row r="534" spans="1:7" ht="13.5" customHeight="1" outlineLevel="3" x14ac:dyDescent="0.25">
      <c r="A534" s="10" t="s">
        <v>13</v>
      </c>
      <c r="B534" s="11">
        <v>195735</v>
      </c>
      <c r="C534" s="11">
        <v>55000</v>
      </c>
      <c r="D534" s="11"/>
      <c r="E534" s="11"/>
      <c r="F534" s="14">
        <f t="shared" si="61"/>
        <v>0</v>
      </c>
      <c r="G534" s="14">
        <f t="shared" si="58"/>
        <v>0</v>
      </c>
    </row>
    <row r="535" spans="1:7" ht="13.5" customHeight="1" outlineLevel="3" x14ac:dyDescent="0.25">
      <c r="A535" s="10" t="s">
        <v>14</v>
      </c>
      <c r="B535" s="11">
        <v>68109</v>
      </c>
      <c r="C535" s="11">
        <v>12800</v>
      </c>
      <c r="D535" s="11">
        <v>370.52</v>
      </c>
      <c r="E535" s="11">
        <v>370.52</v>
      </c>
      <c r="F535" s="14">
        <f t="shared" si="61"/>
        <v>2.8946874999999997E-2</v>
      </c>
      <c r="G535" s="14">
        <f t="shared" si="58"/>
        <v>5.4401033637257925E-3</v>
      </c>
    </row>
    <row r="536" spans="1:7" ht="13.5" customHeight="1" outlineLevel="3" x14ac:dyDescent="0.25">
      <c r="A536" s="10" t="s">
        <v>15</v>
      </c>
      <c r="B536" s="11">
        <v>221970</v>
      </c>
      <c r="C536" s="11">
        <v>43594</v>
      </c>
      <c r="D536" s="11">
        <v>3045.5</v>
      </c>
      <c r="E536" s="11">
        <v>3045.5</v>
      </c>
      <c r="F536" s="14">
        <f t="shared" si="61"/>
        <v>6.986053126577052E-2</v>
      </c>
      <c r="G536" s="14">
        <f t="shared" si="58"/>
        <v>1.3720322566112537E-2</v>
      </c>
    </row>
    <row r="537" spans="1:7" ht="13.5" customHeight="1" outlineLevel="3" x14ac:dyDescent="0.25">
      <c r="A537" s="10" t="s">
        <v>26</v>
      </c>
      <c r="B537" s="11">
        <v>10692</v>
      </c>
      <c r="C537" s="11">
        <v>2138</v>
      </c>
      <c r="D537" s="11"/>
      <c r="E537" s="11"/>
      <c r="F537" s="14">
        <f t="shared" si="61"/>
        <v>0</v>
      </c>
      <c r="G537" s="14">
        <f t="shared" si="58"/>
        <v>0</v>
      </c>
    </row>
    <row r="538" spans="1:7" ht="26.25" customHeight="1" outlineLevel="3" x14ac:dyDescent="0.25">
      <c r="A538" s="10" t="s">
        <v>16</v>
      </c>
      <c r="B538" s="11">
        <v>11900</v>
      </c>
      <c r="C538" s="11">
        <v>11900</v>
      </c>
      <c r="D538" s="11"/>
      <c r="E538" s="11"/>
      <c r="F538" s="14">
        <v>0</v>
      </c>
      <c r="G538" s="14">
        <f t="shared" si="58"/>
        <v>0</v>
      </c>
    </row>
    <row r="539" spans="1:7" ht="15" customHeight="1" outlineLevel="3" x14ac:dyDescent="0.25">
      <c r="A539" s="10" t="s">
        <v>56</v>
      </c>
      <c r="B539" s="11">
        <v>73500</v>
      </c>
      <c r="C539" s="11"/>
      <c r="D539" s="11"/>
      <c r="E539" s="11"/>
      <c r="F539" s="14">
        <v>0</v>
      </c>
      <c r="G539" s="14">
        <f t="shared" si="58"/>
        <v>0</v>
      </c>
    </row>
    <row r="540" spans="1:7" ht="12.75" customHeight="1" outlineLevel="2" x14ac:dyDescent="0.25">
      <c r="A540" s="5" t="s">
        <v>52</v>
      </c>
      <c r="B540" s="6">
        <v>14771896</v>
      </c>
      <c r="C540" s="6">
        <v>2396462</v>
      </c>
      <c r="D540" s="6">
        <v>1867639.58</v>
      </c>
      <c r="E540" s="6">
        <v>1867639.58</v>
      </c>
      <c r="F540" s="7">
        <f t="shared" si="61"/>
        <v>0.77933202362482701</v>
      </c>
      <c r="G540" s="7">
        <f t="shared" si="58"/>
        <v>0.12643194753063522</v>
      </c>
    </row>
    <row r="541" spans="1:7" ht="13.5" customHeight="1" outlineLevel="3" x14ac:dyDescent="0.25">
      <c r="A541" s="10" t="s">
        <v>9</v>
      </c>
      <c r="B541" s="11">
        <v>10287124</v>
      </c>
      <c r="C541" s="11">
        <v>1540000</v>
      </c>
      <c r="D541" s="11">
        <v>1509141.6</v>
      </c>
      <c r="E541" s="11">
        <v>1509141.6</v>
      </c>
      <c r="F541" s="14">
        <f t="shared" si="61"/>
        <v>0.97996207792207801</v>
      </c>
      <c r="G541" s="14">
        <f t="shared" si="58"/>
        <v>0.14670199367675554</v>
      </c>
    </row>
    <row r="542" spans="1:7" ht="13.5" customHeight="1" outlineLevel="3" x14ac:dyDescent="0.25">
      <c r="A542" s="10" t="s">
        <v>10</v>
      </c>
      <c r="B542" s="11">
        <v>2263167</v>
      </c>
      <c r="C542" s="11">
        <v>338800</v>
      </c>
      <c r="D542" s="11">
        <v>333289.32</v>
      </c>
      <c r="E542" s="11">
        <v>333289.32</v>
      </c>
      <c r="F542" s="14">
        <f t="shared" si="61"/>
        <v>0.9837347107438017</v>
      </c>
      <c r="G542" s="14">
        <f t="shared" ref="G542:G609" si="66">D542/B542</f>
        <v>0.14726678146155367</v>
      </c>
    </row>
    <row r="543" spans="1:7" ht="13.5" customHeight="1" outlineLevel="3" x14ac:dyDescent="0.25">
      <c r="A543" s="10" t="s">
        <v>11</v>
      </c>
      <c r="B543" s="11">
        <v>130000</v>
      </c>
      <c r="C543" s="11"/>
      <c r="D543" s="11"/>
      <c r="E543" s="11"/>
      <c r="F543" s="14">
        <v>0</v>
      </c>
      <c r="G543" s="14">
        <f t="shared" si="66"/>
        <v>0</v>
      </c>
    </row>
    <row r="544" spans="1:7" ht="13.5" customHeight="1" outlineLevel="3" x14ac:dyDescent="0.25">
      <c r="A544" s="10" t="s">
        <v>12</v>
      </c>
      <c r="B544" s="11">
        <v>320000</v>
      </c>
      <c r="C544" s="11">
        <v>40000</v>
      </c>
      <c r="D544" s="11">
        <v>8113.7</v>
      </c>
      <c r="E544" s="11">
        <v>8113.7</v>
      </c>
      <c r="F544" s="14">
        <f t="shared" si="61"/>
        <v>0.20284250000000001</v>
      </c>
      <c r="G544" s="14">
        <f t="shared" si="66"/>
        <v>2.5355312500000001E-2</v>
      </c>
    </row>
    <row r="545" spans="1:7" ht="13.5" customHeight="1" outlineLevel="3" x14ac:dyDescent="0.25">
      <c r="A545" s="10" t="s">
        <v>21</v>
      </c>
      <c r="B545" s="11">
        <v>500000</v>
      </c>
      <c r="C545" s="11">
        <v>115000</v>
      </c>
      <c r="D545" s="11">
        <v>17094.96</v>
      </c>
      <c r="E545" s="11">
        <v>17094.96</v>
      </c>
      <c r="F545" s="14">
        <f t="shared" si="61"/>
        <v>0.14865182608695651</v>
      </c>
      <c r="G545" s="14">
        <f t="shared" si="66"/>
        <v>3.4189919999999999E-2</v>
      </c>
    </row>
    <row r="546" spans="1:7" ht="13.5" customHeight="1" outlineLevel="3" x14ac:dyDescent="0.25">
      <c r="A546" s="10" t="s">
        <v>13</v>
      </c>
      <c r="B546" s="11">
        <v>822713</v>
      </c>
      <c r="C546" s="11">
        <v>274236</v>
      </c>
      <c r="D546" s="11"/>
      <c r="E546" s="11"/>
      <c r="F546" s="14">
        <f t="shared" si="61"/>
        <v>0</v>
      </c>
      <c r="G546" s="14">
        <f t="shared" si="66"/>
        <v>0</v>
      </c>
    </row>
    <row r="547" spans="1:7" ht="13.5" customHeight="1" outlineLevel="3" x14ac:dyDescent="0.25">
      <c r="A547" s="10" t="s">
        <v>14</v>
      </c>
      <c r="B547" s="11">
        <v>94589</v>
      </c>
      <c r="C547" s="11">
        <v>17198</v>
      </c>
      <c r="D547" s="11"/>
      <c r="E547" s="11"/>
      <c r="F547" s="14">
        <f t="shared" si="61"/>
        <v>0</v>
      </c>
      <c r="G547" s="14">
        <f t="shared" si="66"/>
        <v>0</v>
      </c>
    </row>
    <row r="548" spans="1:7" ht="13.5" customHeight="1" outlineLevel="3" x14ac:dyDescent="0.25">
      <c r="A548" s="10" t="s">
        <v>15</v>
      </c>
      <c r="B548" s="11">
        <v>338655</v>
      </c>
      <c r="C548" s="11">
        <v>68442</v>
      </c>
      <c r="D548" s="11"/>
      <c r="E548" s="11"/>
      <c r="F548" s="14">
        <f t="shared" si="61"/>
        <v>0</v>
      </c>
      <c r="G548" s="14">
        <f t="shared" si="66"/>
        <v>0</v>
      </c>
    </row>
    <row r="549" spans="1:7" ht="13.5" customHeight="1" outlineLevel="3" x14ac:dyDescent="0.25">
      <c r="A549" s="10" t="s">
        <v>32</v>
      </c>
      <c r="B549" s="11">
        <v>1060</v>
      </c>
      <c r="C549" s="11">
        <v>354</v>
      </c>
      <c r="D549" s="11"/>
      <c r="E549" s="11"/>
      <c r="F549" s="14">
        <f t="shared" si="61"/>
        <v>0</v>
      </c>
      <c r="G549" s="14">
        <f t="shared" si="66"/>
        <v>0</v>
      </c>
    </row>
    <row r="550" spans="1:7" ht="13.5" customHeight="1" outlineLevel="3" x14ac:dyDescent="0.25">
      <c r="A550" s="10" t="s">
        <v>26</v>
      </c>
      <c r="B550" s="11">
        <v>14588</v>
      </c>
      <c r="C550" s="11">
        <v>2432</v>
      </c>
      <c r="D550" s="11"/>
      <c r="E550" s="11"/>
      <c r="F550" s="14">
        <f t="shared" si="61"/>
        <v>0</v>
      </c>
      <c r="G550" s="14">
        <f t="shared" si="66"/>
        <v>0</v>
      </c>
    </row>
    <row r="551" spans="1:7" ht="41.25" customHeight="1" outlineLevel="1" x14ac:dyDescent="0.25">
      <c r="A551" s="28" t="s">
        <v>90</v>
      </c>
      <c r="B551" s="22">
        <v>120000</v>
      </c>
      <c r="C551" s="22">
        <v>60000</v>
      </c>
      <c r="D551" s="22">
        <v>39200</v>
      </c>
      <c r="E551" s="22">
        <v>39200</v>
      </c>
      <c r="F551" s="23">
        <f t="shared" si="61"/>
        <v>0.65333333333333332</v>
      </c>
      <c r="G551" s="23">
        <f t="shared" si="66"/>
        <v>0.32666666666666666</v>
      </c>
    </row>
    <row r="552" spans="1:7" ht="25.5" customHeight="1" outlineLevel="2" x14ac:dyDescent="0.25">
      <c r="A552" s="5" t="s">
        <v>22</v>
      </c>
      <c r="B552" s="6">
        <v>120000</v>
      </c>
      <c r="C552" s="6">
        <v>60000</v>
      </c>
      <c r="D552" s="6">
        <v>39200</v>
      </c>
      <c r="E552" s="6">
        <v>39200</v>
      </c>
      <c r="F552" s="7">
        <f t="shared" si="61"/>
        <v>0.65333333333333332</v>
      </c>
      <c r="G552" s="7">
        <f t="shared" si="66"/>
        <v>0.32666666666666666</v>
      </c>
    </row>
    <row r="553" spans="1:7" ht="15.75" customHeight="1" outlineLevel="3" x14ac:dyDescent="0.25">
      <c r="A553" s="10" t="s">
        <v>11</v>
      </c>
      <c r="B553" s="11">
        <v>120000</v>
      </c>
      <c r="C553" s="11">
        <v>60000</v>
      </c>
      <c r="D553" s="11">
        <v>39200</v>
      </c>
      <c r="E553" s="11">
        <v>39200</v>
      </c>
      <c r="F553" s="14">
        <f t="shared" si="61"/>
        <v>0.65333333333333332</v>
      </c>
      <c r="G553" s="14">
        <f t="shared" si="66"/>
        <v>0.32666666666666666</v>
      </c>
    </row>
    <row r="554" spans="1:7" ht="23.25" customHeight="1" outlineLevel="3" x14ac:dyDescent="0.25">
      <c r="A554" s="24" t="s">
        <v>53</v>
      </c>
      <c r="B554" s="25">
        <f>B555+B558</f>
        <v>88613338</v>
      </c>
      <c r="C554" s="25">
        <f t="shared" ref="C554:E554" si="67">C555+C558</f>
        <v>18822914</v>
      </c>
      <c r="D554" s="25">
        <f t="shared" si="67"/>
        <v>0</v>
      </c>
      <c r="E554" s="25">
        <f t="shared" si="67"/>
        <v>0</v>
      </c>
      <c r="F554" s="26">
        <f t="shared" ref="F554:F605" si="68">D554/C554</f>
        <v>0</v>
      </c>
      <c r="G554" s="26">
        <f t="shared" si="66"/>
        <v>0</v>
      </c>
    </row>
    <row r="555" spans="1:7" s="18" customFormat="1" ht="26.25" customHeight="1" outlineLevel="1" x14ac:dyDescent="0.2">
      <c r="A555" s="28" t="s">
        <v>91</v>
      </c>
      <c r="B555" s="22">
        <v>2929181</v>
      </c>
      <c r="C555" s="22">
        <v>488196</v>
      </c>
      <c r="D555" s="22"/>
      <c r="E555" s="22"/>
      <c r="F555" s="23">
        <f t="shared" si="68"/>
        <v>0</v>
      </c>
      <c r="G555" s="23">
        <f t="shared" si="66"/>
        <v>0</v>
      </c>
    </row>
    <row r="556" spans="1:7" ht="36.75" customHeight="1" outlineLevel="2" x14ac:dyDescent="0.25">
      <c r="A556" s="5" t="s">
        <v>54</v>
      </c>
      <c r="B556" s="6">
        <v>2929181</v>
      </c>
      <c r="C556" s="6">
        <v>488196</v>
      </c>
      <c r="D556" s="6"/>
      <c r="E556" s="6"/>
      <c r="F556" s="7">
        <f t="shared" si="68"/>
        <v>0</v>
      </c>
      <c r="G556" s="7">
        <f t="shared" si="66"/>
        <v>0</v>
      </c>
    </row>
    <row r="557" spans="1:7" ht="24" customHeight="1" outlineLevel="3" x14ac:dyDescent="0.25">
      <c r="A557" s="10" t="s">
        <v>37</v>
      </c>
      <c r="B557" s="11">
        <v>2929181</v>
      </c>
      <c r="C557" s="11">
        <v>488196</v>
      </c>
      <c r="D557" s="11"/>
      <c r="E557" s="11"/>
      <c r="F557" s="14">
        <f t="shared" si="68"/>
        <v>0</v>
      </c>
      <c r="G557" s="14">
        <f t="shared" si="66"/>
        <v>0</v>
      </c>
    </row>
    <row r="558" spans="1:7" ht="51.75" customHeight="1" outlineLevel="3" x14ac:dyDescent="0.25">
      <c r="A558" s="67" t="s">
        <v>117</v>
      </c>
      <c r="B558" s="62">
        <f>B559+B561+B563+B565</f>
        <v>85684157</v>
      </c>
      <c r="C558" s="62">
        <f>C559+C561+C563+C565</f>
        <v>18334718</v>
      </c>
      <c r="D558" s="62">
        <f t="shared" ref="D558:E558" si="69">D559+D561+D563+D565</f>
        <v>0</v>
      </c>
      <c r="E558" s="62">
        <f t="shared" si="69"/>
        <v>0</v>
      </c>
      <c r="F558" s="59">
        <f t="shared" ref="F558:F565" si="70">D558/C558</f>
        <v>0</v>
      </c>
      <c r="G558" s="59">
        <f t="shared" ref="G558:G565" si="71">D558/B558</f>
        <v>0</v>
      </c>
    </row>
    <row r="559" spans="1:7" ht="24" customHeight="1" outlineLevel="3" x14ac:dyDescent="0.25">
      <c r="A559" s="63" t="s">
        <v>94</v>
      </c>
      <c r="B559" s="60">
        <v>3500000</v>
      </c>
      <c r="C559" s="64"/>
      <c r="D559" s="11"/>
      <c r="E559" s="11"/>
      <c r="F559" s="14">
        <v>0</v>
      </c>
      <c r="G559" s="14">
        <f t="shared" si="71"/>
        <v>0</v>
      </c>
    </row>
    <row r="560" spans="1:7" ht="24" customHeight="1" outlineLevel="3" x14ac:dyDescent="0.25">
      <c r="A560" s="65" t="s">
        <v>59</v>
      </c>
      <c r="B560" s="61">
        <v>3500000</v>
      </c>
      <c r="C560" s="66"/>
      <c r="D560" s="11"/>
      <c r="E560" s="11"/>
      <c r="F560" s="14">
        <v>0</v>
      </c>
      <c r="G560" s="14">
        <f t="shared" si="71"/>
        <v>0</v>
      </c>
    </row>
    <row r="561" spans="1:7" ht="24" customHeight="1" outlineLevel="3" x14ac:dyDescent="0.25">
      <c r="A561" s="63" t="s">
        <v>118</v>
      </c>
      <c r="B561" s="60">
        <v>165157</v>
      </c>
      <c r="C561" s="64"/>
      <c r="D561" s="11"/>
      <c r="E561" s="11"/>
      <c r="F561" s="14">
        <v>0</v>
      </c>
      <c r="G561" s="14">
        <f t="shared" si="71"/>
        <v>0</v>
      </c>
    </row>
    <row r="562" spans="1:7" ht="24" customHeight="1" outlineLevel="3" x14ac:dyDescent="0.25">
      <c r="A562" s="65" t="s">
        <v>59</v>
      </c>
      <c r="B562" s="61">
        <v>165157</v>
      </c>
      <c r="C562" s="66"/>
      <c r="D562" s="11"/>
      <c r="E562" s="11"/>
      <c r="F562" s="14">
        <v>0</v>
      </c>
      <c r="G562" s="14">
        <f t="shared" si="71"/>
        <v>0</v>
      </c>
    </row>
    <row r="563" spans="1:7" ht="26.25" customHeight="1" outlineLevel="3" x14ac:dyDescent="0.25">
      <c r="A563" s="63" t="s">
        <v>92</v>
      </c>
      <c r="B563" s="60">
        <v>69200000</v>
      </c>
      <c r="C563" s="60">
        <f>C564</f>
        <v>5515718</v>
      </c>
      <c r="D563" s="11"/>
      <c r="E563" s="11"/>
      <c r="F563" s="14">
        <f t="shared" si="70"/>
        <v>0</v>
      </c>
      <c r="G563" s="14">
        <f t="shared" si="71"/>
        <v>0</v>
      </c>
    </row>
    <row r="564" spans="1:7" ht="28.5" customHeight="1" outlineLevel="3" x14ac:dyDescent="0.25">
      <c r="A564" s="65" t="s">
        <v>59</v>
      </c>
      <c r="B564" s="61">
        <v>69200000</v>
      </c>
      <c r="C564" s="61">
        <f>18334718-C566</f>
        <v>5515718</v>
      </c>
      <c r="D564" s="11"/>
      <c r="E564" s="11"/>
      <c r="F564" s="14">
        <f t="shared" si="70"/>
        <v>0</v>
      </c>
      <c r="G564" s="14">
        <f t="shared" si="71"/>
        <v>0</v>
      </c>
    </row>
    <row r="565" spans="1:7" ht="41.25" customHeight="1" outlineLevel="3" x14ac:dyDescent="0.25">
      <c r="A565" s="63" t="s">
        <v>54</v>
      </c>
      <c r="B565" s="60">
        <v>12819000</v>
      </c>
      <c r="C565" s="60">
        <v>12819000</v>
      </c>
      <c r="D565" s="11"/>
      <c r="E565" s="11"/>
      <c r="F565" s="14">
        <f t="shared" si="70"/>
        <v>0</v>
      </c>
      <c r="G565" s="14">
        <f t="shared" si="71"/>
        <v>0</v>
      </c>
    </row>
    <row r="566" spans="1:7" ht="27.75" customHeight="1" x14ac:dyDescent="0.25">
      <c r="A566" s="65" t="s">
        <v>59</v>
      </c>
      <c r="B566" s="61">
        <v>12819000</v>
      </c>
      <c r="C566" s="61">
        <v>12819000</v>
      </c>
      <c r="D566" s="6"/>
      <c r="E566" s="6"/>
      <c r="F566" s="7">
        <f t="shared" si="68"/>
        <v>0</v>
      </c>
      <c r="G566" s="7">
        <f t="shared" si="66"/>
        <v>0</v>
      </c>
    </row>
    <row r="567" spans="1:7" ht="21" customHeight="1" x14ac:dyDescent="0.25">
      <c r="A567" s="19" t="s">
        <v>55</v>
      </c>
      <c r="B567" s="3">
        <f>B568+B575+B579+B583+B589</f>
        <v>389783116</v>
      </c>
      <c r="C567" s="3">
        <f t="shared" ref="C567:E567" si="72">C568+C575+C579+C583+C589</f>
        <v>46189450</v>
      </c>
      <c r="D567" s="3">
        <f t="shared" si="72"/>
        <v>0</v>
      </c>
      <c r="E567" s="3">
        <f t="shared" si="72"/>
        <v>0</v>
      </c>
      <c r="F567" s="4">
        <f t="shared" si="68"/>
        <v>0</v>
      </c>
      <c r="G567" s="4">
        <f t="shared" si="66"/>
        <v>0</v>
      </c>
    </row>
    <row r="568" spans="1:7" s="27" customFormat="1" ht="21" customHeight="1" outlineLevel="3" x14ac:dyDescent="0.2">
      <c r="A568" s="24" t="s">
        <v>27</v>
      </c>
      <c r="B568" s="25">
        <f>B569</f>
        <v>201600000</v>
      </c>
      <c r="C568" s="25">
        <f t="shared" ref="C568:E568" si="73">C569</f>
        <v>20000000</v>
      </c>
      <c r="D568" s="25">
        <f t="shared" si="73"/>
        <v>0</v>
      </c>
      <c r="E568" s="25">
        <f t="shared" si="73"/>
        <v>0</v>
      </c>
      <c r="F568" s="26">
        <v>0</v>
      </c>
      <c r="G568" s="26">
        <f t="shared" si="66"/>
        <v>0</v>
      </c>
    </row>
    <row r="569" spans="1:7" s="18" customFormat="1" ht="43.5" customHeight="1" outlineLevel="1" x14ac:dyDescent="0.2">
      <c r="A569" s="28" t="s">
        <v>99</v>
      </c>
      <c r="B569" s="22">
        <f>B570+B573</f>
        <v>201600000</v>
      </c>
      <c r="C569" s="22">
        <f>C570+C573</f>
        <v>20000000</v>
      </c>
      <c r="D569" s="22"/>
      <c r="E569" s="22"/>
      <c r="F569" s="23">
        <v>0</v>
      </c>
      <c r="G569" s="23">
        <f t="shared" si="66"/>
        <v>0</v>
      </c>
    </row>
    <row r="570" spans="1:7" ht="28.5" customHeight="1" outlineLevel="2" x14ac:dyDescent="0.25">
      <c r="A570" s="5" t="s">
        <v>23</v>
      </c>
      <c r="B570" s="6">
        <f>B571+B572</f>
        <v>200600000</v>
      </c>
      <c r="C570" s="6">
        <f>C571+C572</f>
        <v>20000000</v>
      </c>
      <c r="D570" s="6"/>
      <c r="E570" s="6"/>
      <c r="F570" s="7">
        <v>0</v>
      </c>
      <c r="G570" s="7">
        <f t="shared" si="66"/>
        <v>0</v>
      </c>
    </row>
    <row r="571" spans="1:7" ht="16.5" customHeight="1" outlineLevel="3" x14ac:dyDescent="0.25">
      <c r="A571" s="10" t="s">
        <v>58</v>
      </c>
      <c r="B571" s="11">
        <v>70000000</v>
      </c>
      <c r="C571" s="11">
        <v>20000000</v>
      </c>
      <c r="D571" s="11"/>
      <c r="E571" s="11"/>
      <c r="F571" s="14">
        <v>0</v>
      </c>
      <c r="G571" s="14">
        <f t="shared" si="66"/>
        <v>0</v>
      </c>
    </row>
    <row r="572" spans="1:7" ht="16.5" customHeight="1" outlineLevel="3" x14ac:dyDescent="0.25">
      <c r="A572" s="10" t="s">
        <v>57</v>
      </c>
      <c r="B572" s="11">
        <v>130600000</v>
      </c>
      <c r="C572" s="11"/>
      <c r="D572" s="11"/>
      <c r="E572" s="11"/>
      <c r="F572" s="14">
        <v>0</v>
      </c>
      <c r="G572" s="14">
        <f t="shared" si="66"/>
        <v>0</v>
      </c>
    </row>
    <row r="573" spans="1:7" ht="30.75" customHeight="1" outlineLevel="2" x14ac:dyDescent="0.25">
      <c r="A573" s="5" t="s">
        <v>25</v>
      </c>
      <c r="B573" s="6">
        <v>1000000</v>
      </c>
      <c r="C573" s="6"/>
      <c r="D573" s="6"/>
      <c r="E573" s="6"/>
      <c r="F573" s="7">
        <v>0</v>
      </c>
      <c r="G573" s="7">
        <f t="shared" si="66"/>
        <v>0</v>
      </c>
    </row>
    <row r="574" spans="1:7" ht="16.5" customHeight="1" outlineLevel="3" x14ac:dyDescent="0.25">
      <c r="A574" s="10" t="s">
        <v>57</v>
      </c>
      <c r="B574" s="11">
        <v>1000000</v>
      </c>
      <c r="C574" s="11"/>
      <c r="D574" s="11"/>
      <c r="E574" s="11"/>
      <c r="F574" s="14">
        <v>0</v>
      </c>
      <c r="G574" s="14">
        <f t="shared" si="66"/>
        <v>0</v>
      </c>
    </row>
    <row r="575" spans="1:7" s="27" customFormat="1" ht="17.25" customHeight="1" outlineLevel="3" x14ac:dyDescent="0.2">
      <c r="A575" s="24" t="s">
        <v>43</v>
      </c>
      <c r="B575" s="25">
        <f>B576</f>
        <v>1000000</v>
      </c>
      <c r="C575" s="25">
        <f t="shared" ref="C575:E575" si="74">C576</f>
        <v>0</v>
      </c>
      <c r="D575" s="25">
        <f t="shared" si="74"/>
        <v>0</v>
      </c>
      <c r="E575" s="25">
        <f t="shared" si="74"/>
        <v>0</v>
      </c>
      <c r="F575" s="26">
        <v>0</v>
      </c>
      <c r="G575" s="26">
        <f t="shared" si="66"/>
        <v>0</v>
      </c>
    </row>
    <row r="576" spans="1:7" s="54" customFormat="1" ht="52.5" customHeight="1" outlineLevel="1" x14ac:dyDescent="0.25">
      <c r="A576" s="28" t="s">
        <v>100</v>
      </c>
      <c r="B576" s="22">
        <v>1000000</v>
      </c>
      <c r="C576" s="22"/>
      <c r="D576" s="22"/>
      <c r="E576" s="22"/>
      <c r="F576" s="23">
        <v>0</v>
      </c>
      <c r="G576" s="23">
        <f t="shared" si="66"/>
        <v>0</v>
      </c>
    </row>
    <row r="577" spans="1:7" ht="29.25" customHeight="1" outlineLevel="2" x14ac:dyDescent="0.25">
      <c r="A577" s="5" t="s">
        <v>24</v>
      </c>
      <c r="B577" s="6">
        <v>1000000</v>
      </c>
      <c r="C577" s="6"/>
      <c r="D577" s="6"/>
      <c r="E577" s="6"/>
      <c r="F577" s="7">
        <v>0</v>
      </c>
      <c r="G577" s="7">
        <f t="shared" si="66"/>
        <v>0</v>
      </c>
    </row>
    <row r="578" spans="1:7" ht="16.5" customHeight="1" outlineLevel="3" x14ac:dyDescent="0.25">
      <c r="A578" s="10" t="s">
        <v>58</v>
      </c>
      <c r="B578" s="11">
        <v>1000000</v>
      </c>
      <c r="C578" s="11"/>
      <c r="D578" s="11"/>
      <c r="E578" s="11"/>
      <c r="F578" s="14">
        <v>0</v>
      </c>
      <c r="G578" s="14">
        <f t="shared" si="66"/>
        <v>0</v>
      </c>
    </row>
    <row r="579" spans="1:7" ht="15" customHeight="1" outlineLevel="3" x14ac:dyDescent="0.25">
      <c r="A579" s="24" t="s">
        <v>48</v>
      </c>
      <c r="B579" s="25">
        <f>B580</f>
        <v>3500000</v>
      </c>
      <c r="C579" s="25">
        <f t="shared" ref="C579:E579" si="75">C580</f>
        <v>0</v>
      </c>
      <c r="D579" s="25">
        <f t="shared" si="75"/>
        <v>0</v>
      </c>
      <c r="E579" s="25">
        <f t="shared" si="75"/>
        <v>0</v>
      </c>
      <c r="F579" s="26">
        <v>0</v>
      </c>
      <c r="G579" s="26">
        <f t="shared" si="66"/>
        <v>0</v>
      </c>
    </row>
    <row r="580" spans="1:7" s="54" customFormat="1" ht="41.25" customHeight="1" outlineLevel="1" x14ac:dyDescent="0.25">
      <c r="A580" s="28" t="s">
        <v>101</v>
      </c>
      <c r="B580" s="22">
        <v>3500000</v>
      </c>
      <c r="C580" s="22"/>
      <c r="D580" s="22"/>
      <c r="E580" s="22"/>
      <c r="F580" s="23">
        <v>0</v>
      </c>
      <c r="G580" s="23">
        <f t="shared" si="66"/>
        <v>0</v>
      </c>
    </row>
    <row r="581" spans="1:7" ht="28.5" customHeight="1" outlineLevel="2" x14ac:dyDescent="0.25">
      <c r="A581" s="5" t="s">
        <v>25</v>
      </c>
      <c r="B581" s="6">
        <v>3500000</v>
      </c>
      <c r="C581" s="6"/>
      <c r="D581" s="6"/>
      <c r="E581" s="6"/>
      <c r="F581" s="7">
        <v>0</v>
      </c>
      <c r="G581" s="7">
        <f t="shared" si="66"/>
        <v>0</v>
      </c>
    </row>
    <row r="582" spans="1:7" ht="17.25" customHeight="1" outlineLevel="3" x14ac:dyDescent="0.25">
      <c r="A582" s="10" t="s">
        <v>57</v>
      </c>
      <c r="B582" s="11">
        <v>3500000</v>
      </c>
      <c r="C582" s="11"/>
      <c r="D582" s="11"/>
      <c r="E582" s="11"/>
      <c r="F582" s="14">
        <v>0</v>
      </c>
      <c r="G582" s="14">
        <f t="shared" si="66"/>
        <v>0</v>
      </c>
    </row>
    <row r="583" spans="1:7" ht="19.5" customHeight="1" outlineLevel="3" x14ac:dyDescent="0.25">
      <c r="A583" s="24" t="s">
        <v>49</v>
      </c>
      <c r="B583" s="25">
        <f>B584</f>
        <v>41000000</v>
      </c>
      <c r="C583" s="25">
        <f t="shared" ref="C583:E583" si="76">C584</f>
        <v>0</v>
      </c>
      <c r="D583" s="25">
        <f t="shared" si="76"/>
        <v>0</v>
      </c>
      <c r="E583" s="25">
        <f t="shared" si="76"/>
        <v>0</v>
      </c>
      <c r="F583" s="39">
        <v>0</v>
      </c>
      <c r="G583" s="39">
        <f t="shared" si="66"/>
        <v>0</v>
      </c>
    </row>
    <row r="584" spans="1:7" s="54" customFormat="1" ht="41.25" customHeight="1" outlineLevel="1" x14ac:dyDescent="0.25">
      <c r="A584" s="28" t="s">
        <v>102</v>
      </c>
      <c r="B584" s="22">
        <v>41000000</v>
      </c>
      <c r="C584" s="22"/>
      <c r="D584" s="22"/>
      <c r="E584" s="22"/>
      <c r="F584" s="23">
        <v>0</v>
      </c>
      <c r="G584" s="23">
        <f t="shared" si="66"/>
        <v>0</v>
      </c>
    </row>
    <row r="585" spans="1:7" ht="16.5" customHeight="1" outlineLevel="2" x14ac:dyDescent="0.25">
      <c r="A585" s="5" t="s">
        <v>50</v>
      </c>
      <c r="B585" s="6">
        <v>40000000</v>
      </c>
      <c r="C585" s="6"/>
      <c r="D585" s="6"/>
      <c r="E585" s="6"/>
      <c r="F585" s="7">
        <v>0</v>
      </c>
      <c r="G585" s="7">
        <f t="shared" si="66"/>
        <v>0</v>
      </c>
    </row>
    <row r="586" spans="1:7" ht="16.5" customHeight="1" outlineLevel="3" x14ac:dyDescent="0.25">
      <c r="A586" s="10" t="s">
        <v>57</v>
      </c>
      <c r="B586" s="11">
        <v>40000000</v>
      </c>
      <c r="C586" s="11"/>
      <c r="D586" s="11"/>
      <c r="E586" s="11"/>
      <c r="F586" s="14">
        <v>0</v>
      </c>
      <c r="G586" s="14">
        <f t="shared" si="66"/>
        <v>0</v>
      </c>
    </row>
    <row r="587" spans="1:7" ht="16.5" customHeight="1" outlineLevel="2" x14ac:dyDescent="0.25">
      <c r="A587" s="5" t="s">
        <v>51</v>
      </c>
      <c r="B587" s="6">
        <v>1000000</v>
      </c>
      <c r="C587" s="6"/>
      <c r="D587" s="6"/>
      <c r="E587" s="6"/>
      <c r="F587" s="7">
        <v>0</v>
      </c>
      <c r="G587" s="7">
        <f t="shared" si="66"/>
        <v>0</v>
      </c>
    </row>
    <row r="588" spans="1:7" ht="16.5" customHeight="1" outlineLevel="3" x14ac:dyDescent="0.25">
      <c r="A588" s="10" t="s">
        <v>57</v>
      </c>
      <c r="B588" s="11">
        <v>1000000</v>
      </c>
      <c r="C588" s="11"/>
      <c r="D588" s="11"/>
      <c r="E588" s="11"/>
      <c r="F588" s="14">
        <v>0</v>
      </c>
      <c r="G588" s="14">
        <f t="shared" si="66"/>
        <v>0</v>
      </c>
    </row>
    <row r="589" spans="1:7" ht="16.5" customHeight="1" outlineLevel="3" x14ac:dyDescent="0.25">
      <c r="A589" s="24" t="s">
        <v>53</v>
      </c>
      <c r="B589" s="25">
        <f>B590+B605+B610</f>
        <v>142683116</v>
      </c>
      <c r="C589" s="25">
        <f t="shared" ref="C589:E589" si="77">C590+C605+C610</f>
        <v>26189450</v>
      </c>
      <c r="D589" s="25">
        <f t="shared" si="77"/>
        <v>0</v>
      </c>
      <c r="E589" s="25">
        <f t="shared" si="77"/>
        <v>0</v>
      </c>
      <c r="F589" s="26">
        <f t="shared" ref="F589" si="78">D589/C589</f>
        <v>0</v>
      </c>
      <c r="G589" s="26">
        <f t="shared" si="66"/>
        <v>0</v>
      </c>
    </row>
    <row r="590" spans="1:7" ht="45" customHeight="1" outlineLevel="3" x14ac:dyDescent="0.25">
      <c r="A590" s="70" t="s">
        <v>119</v>
      </c>
      <c r="B590" s="22">
        <f>B591+B593+B595+B597+B599+B601+B603</f>
        <v>104114763</v>
      </c>
      <c r="C590" s="22">
        <f t="shared" ref="C590:E590" si="79">C591+C593+C595+C597+C599+C601+C603</f>
        <v>0</v>
      </c>
      <c r="D590" s="22">
        <f t="shared" si="79"/>
        <v>0</v>
      </c>
      <c r="E590" s="22">
        <f t="shared" si="79"/>
        <v>0</v>
      </c>
      <c r="F590" s="23">
        <v>0</v>
      </c>
      <c r="G590" s="23">
        <f t="shared" ref="G590:G604" si="80">D590/B590</f>
        <v>0</v>
      </c>
    </row>
    <row r="591" spans="1:7" ht="16.5" customHeight="1" outlineLevel="3" x14ac:dyDescent="0.25">
      <c r="A591" s="68" t="s">
        <v>120</v>
      </c>
      <c r="B591" s="6">
        <v>699990</v>
      </c>
      <c r="C591" s="6"/>
      <c r="D591" s="6"/>
      <c r="E591" s="6"/>
      <c r="F591" s="7">
        <v>0</v>
      </c>
      <c r="G591" s="7">
        <f t="shared" si="80"/>
        <v>0</v>
      </c>
    </row>
    <row r="592" spans="1:7" ht="28.5" customHeight="1" outlineLevel="3" x14ac:dyDescent="0.25">
      <c r="A592" s="69" t="s">
        <v>59</v>
      </c>
      <c r="B592" s="11">
        <v>699990</v>
      </c>
      <c r="C592" s="6"/>
      <c r="D592" s="6"/>
      <c r="E592" s="6"/>
      <c r="F592" s="7">
        <v>0</v>
      </c>
      <c r="G592" s="7">
        <f t="shared" si="80"/>
        <v>0</v>
      </c>
    </row>
    <row r="593" spans="1:7" ht="28.5" customHeight="1" outlineLevel="3" x14ac:dyDescent="0.25">
      <c r="A593" s="68" t="s">
        <v>104</v>
      </c>
      <c r="B593" s="6">
        <v>1241802</v>
      </c>
      <c r="C593" s="6"/>
      <c r="D593" s="6"/>
      <c r="E593" s="6"/>
      <c r="F593" s="7">
        <v>0</v>
      </c>
      <c r="G593" s="7">
        <f t="shared" si="80"/>
        <v>0</v>
      </c>
    </row>
    <row r="594" spans="1:7" ht="28.5" customHeight="1" outlineLevel="3" x14ac:dyDescent="0.25">
      <c r="A594" s="69" t="s">
        <v>59</v>
      </c>
      <c r="B594" s="11">
        <v>1241802</v>
      </c>
      <c r="C594" s="6"/>
      <c r="D594" s="6"/>
      <c r="E594" s="6"/>
      <c r="F594" s="7">
        <v>0</v>
      </c>
      <c r="G594" s="7">
        <f t="shared" si="80"/>
        <v>0</v>
      </c>
    </row>
    <row r="595" spans="1:7" ht="28.5" customHeight="1" outlineLevel="3" x14ac:dyDescent="0.25">
      <c r="A595" s="68" t="s">
        <v>61</v>
      </c>
      <c r="B595" s="6">
        <v>999990</v>
      </c>
      <c r="C595" s="6"/>
      <c r="D595" s="6"/>
      <c r="E595" s="6"/>
      <c r="F595" s="7">
        <v>0</v>
      </c>
      <c r="G595" s="7">
        <f t="shared" si="80"/>
        <v>0</v>
      </c>
    </row>
    <row r="596" spans="1:7" ht="28.5" customHeight="1" outlineLevel="3" x14ac:dyDescent="0.25">
      <c r="A596" s="69" t="s">
        <v>59</v>
      </c>
      <c r="B596" s="11">
        <v>999990</v>
      </c>
      <c r="C596" s="6"/>
      <c r="D596" s="6"/>
      <c r="E596" s="6"/>
      <c r="F596" s="7">
        <v>0</v>
      </c>
      <c r="G596" s="7">
        <f t="shared" si="80"/>
        <v>0</v>
      </c>
    </row>
    <row r="597" spans="1:7" ht="28.5" customHeight="1" outlineLevel="3" x14ac:dyDescent="0.25">
      <c r="A597" s="68" t="s">
        <v>60</v>
      </c>
      <c r="B597" s="6">
        <v>598380</v>
      </c>
      <c r="C597" s="6"/>
      <c r="D597" s="6"/>
      <c r="E597" s="6"/>
      <c r="F597" s="7">
        <v>0</v>
      </c>
      <c r="G597" s="7">
        <f t="shared" si="80"/>
        <v>0</v>
      </c>
    </row>
    <row r="598" spans="1:7" ht="28.5" customHeight="1" outlineLevel="3" x14ac:dyDescent="0.25">
      <c r="A598" s="69" t="s">
        <v>59</v>
      </c>
      <c r="B598" s="11">
        <v>598380</v>
      </c>
      <c r="C598" s="6"/>
      <c r="D598" s="6"/>
      <c r="E598" s="6"/>
      <c r="F598" s="7">
        <v>0</v>
      </c>
      <c r="G598" s="7">
        <f t="shared" si="80"/>
        <v>0</v>
      </c>
    </row>
    <row r="599" spans="1:7" ht="15" customHeight="1" outlineLevel="3" x14ac:dyDescent="0.25">
      <c r="A599" s="68" t="s">
        <v>105</v>
      </c>
      <c r="B599" s="6">
        <v>699986</v>
      </c>
      <c r="C599" s="6"/>
      <c r="D599" s="6"/>
      <c r="E599" s="6"/>
      <c r="F599" s="7">
        <v>0</v>
      </c>
      <c r="G599" s="7">
        <f t="shared" si="80"/>
        <v>0</v>
      </c>
    </row>
    <row r="600" spans="1:7" ht="28.5" customHeight="1" outlineLevel="3" x14ac:dyDescent="0.25">
      <c r="A600" s="69" t="s">
        <v>59</v>
      </c>
      <c r="B600" s="11">
        <v>699986</v>
      </c>
      <c r="C600" s="6"/>
      <c r="D600" s="6"/>
      <c r="E600" s="6"/>
      <c r="F600" s="7">
        <v>0</v>
      </c>
      <c r="G600" s="7">
        <f t="shared" si="80"/>
        <v>0</v>
      </c>
    </row>
    <row r="601" spans="1:7" ht="28.5" customHeight="1" outlineLevel="3" x14ac:dyDescent="0.25">
      <c r="A601" s="68" t="s">
        <v>92</v>
      </c>
      <c r="B601" s="6">
        <v>1250000</v>
      </c>
      <c r="C601" s="6"/>
      <c r="D601" s="6"/>
      <c r="E601" s="6"/>
      <c r="F601" s="7">
        <v>0</v>
      </c>
      <c r="G601" s="7">
        <f t="shared" si="80"/>
        <v>0</v>
      </c>
    </row>
    <row r="602" spans="1:7" ht="28.5" customHeight="1" outlineLevel="3" x14ac:dyDescent="0.25">
      <c r="A602" s="69" t="s">
        <v>59</v>
      </c>
      <c r="B602" s="11">
        <v>1250000</v>
      </c>
      <c r="C602" s="6"/>
      <c r="D602" s="6"/>
      <c r="E602" s="6"/>
      <c r="F602" s="7">
        <v>0</v>
      </c>
      <c r="G602" s="7">
        <f t="shared" si="80"/>
        <v>0</v>
      </c>
    </row>
    <row r="603" spans="1:7" ht="28.5" customHeight="1" outlineLevel="3" x14ac:dyDescent="0.25">
      <c r="A603" s="68" t="s">
        <v>54</v>
      </c>
      <c r="B603" s="6">
        <v>98624615</v>
      </c>
      <c r="C603" s="6"/>
      <c r="D603" s="6"/>
      <c r="E603" s="6"/>
      <c r="F603" s="7">
        <v>0</v>
      </c>
      <c r="G603" s="7">
        <f t="shared" si="80"/>
        <v>0</v>
      </c>
    </row>
    <row r="604" spans="1:7" ht="28.5" customHeight="1" outlineLevel="3" x14ac:dyDescent="0.25">
      <c r="A604" s="69" t="s">
        <v>59</v>
      </c>
      <c r="B604" s="11">
        <v>98624615</v>
      </c>
      <c r="C604" s="6"/>
      <c r="D604" s="6"/>
      <c r="E604" s="6"/>
      <c r="F604" s="7">
        <v>0</v>
      </c>
      <c r="G604" s="7">
        <f t="shared" si="80"/>
        <v>0</v>
      </c>
    </row>
    <row r="605" spans="1:7" s="54" customFormat="1" ht="50.25" customHeight="1" outlineLevel="1" x14ac:dyDescent="0.25">
      <c r="A605" s="28" t="s">
        <v>103</v>
      </c>
      <c r="B605" s="22">
        <f>B606+B608</f>
        <v>18568353</v>
      </c>
      <c r="C605" s="22">
        <f t="shared" ref="C605:E605" si="81">C606+C608</f>
        <v>6189450</v>
      </c>
      <c r="D605" s="22">
        <f t="shared" si="81"/>
        <v>0</v>
      </c>
      <c r="E605" s="22">
        <f t="shared" si="81"/>
        <v>0</v>
      </c>
      <c r="F605" s="23">
        <f t="shared" si="68"/>
        <v>0</v>
      </c>
      <c r="G605" s="23">
        <f t="shared" si="66"/>
        <v>0</v>
      </c>
    </row>
    <row r="606" spans="1:7" ht="30" customHeight="1" outlineLevel="2" x14ac:dyDescent="0.25">
      <c r="A606" s="5" t="s">
        <v>121</v>
      </c>
      <c r="B606" s="6">
        <v>1710200</v>
      </c>
      <c r="C606" s="6"/>
      <c r="D606" s="6"/>
      <c r="E606" s="6"/>
      <c r="F606" s="7">
        <v>0</v>
      </c>
      <c r="G606" s="7">
        <f t="shared" si="66"/>
        <v>0</v>
      </c>
    </row>
    <row r="607" spans="1:7" ht="27" customHeight="1" outlineLevel="3" x14ac:dyDescent="0.25">
      <c r="A607" s="10" t="s">
        <v>59</v>
      </c>
      <c r="B607" s="11">
        <v>1710200</v>
      </c>
      <c r="C607" s="11"/>
      <c r="D607" s="11"/>
      <c r="E607" s="11"/>
      <c r="F607" s="14">
        <v>0</v>
      </c>
      <c r="G607" s="14">
        <f t="shared" si="66"/>
        <v>0</v>
      </c>
    </row>
    <row r="608" spans="1:7" ht="27.75" customHeight="1" outlineLevel="2" x14ac:dyDescent="0.25">
      <c r="A608" s="5" t="s">
        <v>54</v>
      </c>
      <c r="B608" s="6">
        <v>16858153</v>
      </c>
      <c r="C608" s="6">
        <v>6189450</v>
      </c>
      <c r="D608" s="6"/>
      <c r="E608" s="6"/>
      <c r="F608" s="7">
        <f t="shared" ref="F608:F609" si="82">D608/C608</f>
        <v>0</v>
      </c>
      <c r="G608" s="7">
        <f t="shared" si="66"/>
        <v>0</v>
      </c>
    </row>
    <row r="609" spans="1:7" ht="33.75" customHeight="1" outlineLevel="3" x14ac:dyDescent="0.25">
      <c r="A609" s="10" t="s">
        <v>59</v>
      </c>
      <c r="B609" s="11">
        <v>16858153</v>
      </c>
      <c r="C609" s="11">
        <v>6189450</v>
      </c>
      <c r="D609" s="11"/>
      <c r="E609" s="11"/>
      <c r="F609" s="14">
        <f t="shared" si="82"/>
        <v>0</v>
      </c>
      <c r="G609" s="14">
        <f t="shared" si="66"/>
        <v>0</v>
      </c>
    </row>
    <row r="610" spans="1:7" ht="29.25" customHeight="1" x14ac:dyDescent="0.25">
      <c r="A610" s="28" t="s">
        <v>122</v>
      </c>
      <c r="B610" s="62">
        <v>20000000</v>
      </c>
      <c r="C610" s="62">
        <v>20000000</v>
      </c>
      <c r="D610" s="71"/>
      <c r="E610" s="71"/>
      <c r="F610" s="23">
        <f t="shared" ref="F610:F612" si="83">D610/C610</f>
        <v>0</v>
      </c>
      <c r="G610" s="23">
        <f t="shared" ref="G610:G612" si="84">D610/B610</f>
        <v>0</v>
      </c>
    </row>
    <row r="611" spans="1:7" ht="32.25" customHeight="1" x14ac:dyDescent="0.25">
      <c r="A611" s="5" t="s">
        <v>92</v>
      </c>
      <c r="B611" s="60">
        <v>20000000</v>
      </c>
      <c r="C611" s="60">
        <v>20000000</v>
      </c>
      <c r="D611" s="72"/>
      <c r="E611" s="72"/>
      <c r="F611" s="7">
        <f t="shared" si="83"/>
        <v>0</v>
      </c>
      <c r="G611" s="7">
        <f t="shared" si="84"/>
        <v>0</v>
      </c>
    </row>
    <row r="612" spans="1:7" ht="26.25" customHeight="1" x14ac:dyDescent="0.25">
      <c r="A612" s="10" t="s">
        <v>59</v>
      </c>
      <c r="B612" s="61">
        <v>20000000</v>
      </c>
      <c r="C612" s="61">
        <v>20000000</v>
      </c>
      <c r="D612" s="72"/>
      <c r="E612" s="72"/>
      <c r="F612" s="14">
        <f t="shared" si="83"/>
        <v>0</v>
      </c>
      <c r="G612" s="14">
        <f t="shared" si="84"/>
        <v>0</v>
      </c>
    </row>
  </sheetData>
  <mergeCells count="7">
    <mergeCell ref="A1:G1"/>
    <mergeCell ref="G2:G5"/>
    <mergeCell ref="B2:B5"/>
    <mergeCell ref="C2:C5"/>
    <mergeCell ref="D2:D5"/>
    <mergeCell ref="E2:E5"/>
    <mergeCell ref="F2:F5"/>
  </mergeCells>
  <pageMargins left="0.11811023622047245" right="0.11811023622047245" top="0.15748031496062992" bottom="0.19685039370078741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E8C2C-8462-40E0-9591-51FCE2E36436}">
  <dimension ref="A1:H642"/>
  <sheetViews>
    <sheetView view="pageBreakPreview" zoomScale="96" zoomScaleNormal="100" zoomScaleSheetLayoutView="96" workbookViewId="0">
      <selection activeCell="A619" sqref="A619:XFD619"/>
    </sheetView>
  </sheetViews>
  <sheetFormatPr defaultRowHeight="15" outlineLevelRow="3" x14ac:dyDescent="0.25"/>
  <cols>
    <col min="1" max="1" width="54" style="74" customWidth="1"/>
    <col min="2" max="2" width="16.140625" style="75" customWidth="1"/>
    <col min="3" max="3" width="16.7109375" style="75" customWidth="1"/>
    <col min="4" max="4" width="16" style="75" customWidth="1"/>
    <col min="5" max="5" width="16.85546875" style="75" customWidth="1"/>
    <col min="6" max="6" width="12.28515625" style="75" customWidth="1"/>
    <col min="7" max="7" width="11.7109375" style="75" customWidth="1"/>
    <col min="8" max="8" width="15.28515625" bestFit="1" customWidth="1"/>
  </cols>
  <sheetData>
    <row r="1" spans="1:8" s="73" customFormat="1" ht="24.75" customHeight="1" x14ac:dyDescent="0.25">
      <c r="A1" s="95" t="s">
        <v>132</v>
      </c>
      <c r="B1" s="95"/>
      <c r="C1" s="95"/>
      <c r="D1" s="95"/>
      <c r="E1" s="95"/>
      <c r="F1" s="95"/>
      <c r="G1" s="95"/>
    </row>
    <row r="2" spans="1:8" ht="15.75" customHeight="1" x14ac:dyDescent="0.25">
      <c r="A2" s="5" t="s">
        <v>0</v>
      </c>
      <c r="B2" s="97" t="s">
        <v>96</v>
      </c>
      <c r="C2" s="97" t="s">
        <v>1</v>
      </c>
      <c r="D2" s="97" t="s">
        <v>97</v>
      </c>
      <c r="E2" s="97" t="s">
        <v>2</v>
      </c>
      <c r="F2" s="96" t="s">
        <v>3</v>
      </c>
      <c r="G2" s="96" t="s">
        <v>4</v>
      </c>
    </row>
    <row r="3" spans="1:8" ht="17.25" customHeight="1" x14ac:dyDescent="0.25">
      <c r="A3" s="5" t="s">
        <v>62</v>
      </c>
      <c r="B3" s="97"/>
      <c r="C3" s="97"/>
      <c r="D3" s="97"/>
      <c r="E3" s="97"/>
      <c r="F3" s="96"/>
      <c r="G3" s="96"/>
    </row>
    <row r="4" spans="1:8" ht="17.25" customHeight="1" x14ac:dyDescent="0.25">
      <c r="A4" s="5" t="s">
        <v>63</v>
      </c>
      <c r="B4" s="97"/>
      <c r="C4" s="97"/>
      <c r="D4" s="97"/>
      <c r="E4" s="97"/>
      <c r="F4" s="96"/>
      <c r="G4" s="96"/>
    </row>
    <row r="5" spans="1:8" ht="18" customHeight="1" x14ac:dyDescent="0.25">
      <c r="A5" s="5" t="s">
        <v>5</v>
      </c>
      <c r="B5" s="97"/>
      <c r="C5" s="97"/>
      <c r="D5" s="97"/>
      <c r="E5" s="97"/>
      <c r="F5" s="96"/>
      <c r="G5" s="96"/>
    </row>
    <row r="6" spans="1:8" ht="19.5" customHeight="1" x14ac:dyDescent="0.25">
      <c r="A6" s="82" t="s">
        <v>6</v>
      </c>
      <c r="B6" s="76">
        <f>B7+B91+B434+B491+B523+B573</f>
        <v>4383337905</v>
      </c>
      <c r="C6" s="76">
        <f>C7+C91+C434+C491+C523+C573</f>
        <v>1280148595</v>
      </c>
      <c r="D6" s="76">
        <f>D7+D91+D434+D491+D523+D573</f>
        <v>1063523938.47</v>
      </c>
      <c r="E6" s="76">
        <f>E7+E91+E434+E491+E523+E573</f>
        <v>1035055667.9</v>
      </c>
      <c r="F6" s="77">
        <f>D6/C6</f>
        <v>0.83078163161988239</v>
      </c>
      <c r="G6" s="77">
        <f>D6/B6</f>
        <v>0.24262878233887836</v>
      </c>
      <c r="H6" s="20"/>
    </row>
    <row r="7" spans="1:8" ht="18" customHeight="1" x14ac:dyDescent="0.25">
      <c r="A7" s="21" t="s">
        <v>7</v>
      </c>
      <c r="B7" s="22">
        <f>B8</f>
        <v>199151160</v>
      </c>
      <c r="C7" s="22">
        <f t="shared" ref="C7:E7" si="0">C8</f>
        <v>53102414</v>
      </c>
      <c r="D7" s="22">
        <f t="shared" si="0"/>
        <v>47258642.840000004</v>
      </c>
      <c r="E7" s="22">
        <f t="shared" si="0"/>
        <v>47161666.799999997</v>
      </c>
      <c r="F7" s="23">
        <f t="shared" ref="F7" si="1">D7/C7</f>
        <v>0.88995281532775528</v>
      </c>
      <c r="G7" s="23">
        <f t="shared" ref="G7" si="2">D7/B7</f>
        <v>0.23730036440661456</v>
      </c>
      <c r="H7" s="20"/>
    </row>
    <row r="8" spans="1:8" s="54" customFormat="1" ht="28.5" customHeight="1" outlineLevel="1" x14ac:dyDescent="0.25">
      <c r="A8" s="5" t="s">
        <v>64</v>
      </c>
      <c r="B8" s="6">
        <v>199151160</v>
      </c>
      <c r="C8" s="6">
        <v>53102414</v>
      </c>
      <c r="D8" s="6">
        <v>47258642.840000004</v>
      </c>
      <c r="E8" s="6">
        <v>47161666.799999997</v>
      </c>
      <c r="F8" s="7">
        <f t="shared" ref="F8:F37" si="3">D8/C8</f>
        <v>0.88995281532775528</v>
      </c>
      <c r="G8" s="7">
        <f t="shared" ref="G8:G39" si="4">D8/B8</f>
        <v>0.23730036440661456</v>
      </c>
    </row>
    <row r="9" spans="1:8" s="78" customFormat="1" ht="39" customHeight="1" outlineLevel="2" x14ac:dyDescent="0.25">
      <c r="A9" s="8" t="s">
        <v>8</v>
      </c>
      <c r="B9" s="9">
        <v>25855642</v>
      </c>
      <c r="C9" s="9">
        <v>6730267</v>
      </c>
      <c r="D9" s="9">
        <v>5695717.4500000002</v>
      </c>
      <c r="E9" s="9">
        <v>5617941.4100000001</v>
      </c>
      <c r="F9" s="16">
        <f t="shared" si="3"/>
        <v>0.84628402558174887</v>
      </c>
      <c r="G9" s="16">
        <f t="shared" si="4"/>
        <v>0.22028915197696503</v>
      </c>
    </row>
    <row r="10" spans="1:8" ht="15" customHeight="1" outlineLevel="3" x14ac:dyDescent="0.25">
      <c r="A10" s="10" t="s">
        <v>9</v>
      </c>
      <c r="B10" s="11">
        <v>18992832</v>
      </c>
      <c r="C10" s="11">
        <v>4883379</v>
      </c>
      <c r="D10" s="11">
        <v>4428443.9000000004</v>
      </c>
      <c r="E10" s="11">
        <v>4428443.9000000004</v>
      </c>
      <c r="F10" s="14">
        <f t="shared" si="3"/>
        <v>0.90684009985708669</v>
      </c>
      <c r="G10" s="14">
        <f t="shared" si="4"/>
        <v>0.23316395890828712</v>
      </c>
    </row>
    <row r="11" spans="1:8" ht="15" customHeight="1" outlineLevel="3" x14ac:dyDescent="0.25">
      <c r="A11" s="10" t="s">
        <v>10</v>
      </c>
      <c r="B11" s="11">
        <v>4178423</v>
      </c>
      <c r="C11" s="11">
        <v>1071500</v>
      </c>
      <c r="D11" s="11">
        <v>931864.92</v>
      </c>
      <c r="E11" s="11">
        <v>931864.92</v>
      </c>
      <c r="F11" s="14">
        <f t="shared" si="3"/>
        <v>0.86968261315912276</v>
      </c>
      <c r="G11" s="14">
        <f t="shared" si="4"/>
        <v>0.22301833012119646</v>
      </c>
    </row>
    <row r="12" spans="1:8" ht="15" customHeight="1" outlineLevel="3" x14ac:dyDescent="0.25">
      <c r="A12" s="10" t="s">
        <v>11</v>
      </c>
      <c r="B12" s="11">
        <v>407670</v>
      </c>
      <c r="C12" s="11">
        <v>91920</v>
      </c>
      <c r="D12" s="11">
        <v>60654.52</v>
      </c>
      <c r="E12" s="11">
        <v>60654.52</v>
      </c>
      <c r="F12" s="14">
        <f t="shared" si="3"/>
        <v>0.65986205395996511</v>
      </c>
      <c r="G12" s="14">
        <f t="shared" si="4"/>
        <v>0.14878337871317487</v>
      </c>
    </row>
    <row r="13" spans="1:8" ht="15" customHeight="1" outlineLevel="3" x14ac:dyDescent="0.25">
      <c r="A13" s="10" t="s">
        <v>12</v>
      </c>
      <c r="B13" s="11">
        <v>1373756</v>
      </c>
      <c r="C13" s="11">
        <v>330000</v>
      </c>
      <c r="D13" s="11">
        <v>157492.07</v>
      </c>
      <c r="E13" s="11">
        <v>79716.03</v>
      </c>
      <c r="F13" s="14">
        <f t="shared" si="3"/>
        <v>0.47724869696969702</v>
      </c>
      <c r="G13" s="14">
        <f t="shared" si="4"/>
        <v>0.11464340829084642</v>
      </c>
    </row>
    <row r="14" spans="1:8" ht="15" customHeight="1" outlineLevel="3" x14ac:dyDescent="0.25">
      <c r="A14" s="10" t="s">
        <v>13</v>
      </c>
      <c r="B14" s="11">
        <v>394493</v>
      </c>
      <c r="C14" s="11">
        <v>217168</v>
      </c>
      <c r="D14" s="13">
        <v>133.24</v>
      </c>
      <c r="E14" s="13">
        <v>133.24</v>
      </c>
      <c r="F14" s="14">
        <f t="shared" si="3"/>
        <v>6.1353422235320128E-4</v>
      </c>
      <c r="G14" s="14">
        <f t="shared" si="4"/>
        <v>3.3774997274983336E-4</v>
      </c>
    </row>
    <row r="15" spans="1:8" ht="15" customHeight="1" outlineLevel="3" x14ac:dyDescent="0.25">
      <c r="A15" s="10" t="s">
        <v>14</v>
      </c>
      <c r="B15" s="11">
        <v>31644</v>
      </c>
      <c r="C15" s="11">
        <v>8600</v>
      </c>
      <c r="D15" s="11">
        <v>7228.65</v>
      </c>
      <c r="E15" s="11">
        <v>7228.65</v>
      </c>
      <c r="F15" s="14">
        <f t="shared" si="3"/>
        <v>0.84054069767441852</v>
      </c>
      <c r="G15" s="14">
        <f t="shared" si="4"/>
        <v>0.22843667045885474</v>
      </c>
    </row>
    <row r="16" spans="1:8" ht="15" customHeight="1" outlineLevel="3" x14ac:dyDescent="0.25">
      <c r="A16" s="10" t="s">
        <v>15</v>
      </c>
      <c r="B16" s="11">
        <v>470824</v>
      </c>
      <c r="C16" s="11">
        <v>126700</v>
      </c>
      <c r="D16" s="11">
        <v>109900.15</v>
      </c>
      <c r="E16" s="11">
        <v>109900.15</v>
      </c>
      <c r="F16" s="14">
        <f t="shared" si="3"/>
        <v>0.86740449881610093</v>
      </c>
      <c r="G16" s="14">
        <f t="shared" si="4"/>
        <v>0.23342087489167926</v>
      </c>
    </row>
    <row r="17" spans="1:7" ht="24" customHeight="1" outlineLevel="3" x14ac:dyDescent="0.25">
      <c r="A17" s="10" t="s">
        <v>16</v>
      </c>
      <c r="B17" s="11">
        <v>6000</v>
      </c>
      <c r="C17" s="11">
        <v>1000</v>
      </c>
      <c r="D17" s="12"/>
      <c r="E17" s="12"/>
      <c r="F17" s="14">
        <f t="shared" si="3"/>
        <v>0</v>
      </c>
      <c r="G17" s="14">
        <f t="shared" si="4"/>
        <v>0</v>
      </c>
    </row>
    <row r="18" spans="1:7" s="78" customFormat="1" ht="18" customHeight="1" outlineLevel="2" x14ac:dyDescent="0.25">
      <c r="A18" s="8" t="s">
        <v>17</v>
      </c>
      <c r="B18" s="9">
        <v>71590477</v>
      </c>
      <c r="C18" s="9">
        <v>19124900</v>
      </c>
      <c r="D18" s="9">
        <v>16601449.65</v>
      </c>
      <c r="E18" s="9">
        <v>16601449.65</v>
      </c>
      <c r="F18" s="16">
        <f t="shared" si="3"/>
        <v>0.86805419374741832</v>
      </c>
      <c r="G18" s="16">
        <f t="shared" si="4"/>
        <v>0.23189466456551197</v>
      </c>
    </row>
    <row r="19" spans="1:7" ht="15.75" customHeight="1" outlineLevel="3" x14ac:dyDescent="0.25">
      <c r="A19" s="10" t="s">
        <v>9</v>
      </c>
      <c r="B19" s="11">
        <v>52452781</v>
      </c>
      <c r="C19" s="11">
        <v>13758195</v>
      </c>
      <c r="D19" s="11">
        <v>13000107.039999999</v>
      </c>
      <c r="E19" s="11">
        <v>13000107.039999999</v>
      </c>
      <c r="F19" s="14">
        <f t="shared" si="3"/>
        <v>0.94489917027633341</v>
      </c>
      <c r="G19" s="14">
        <f t="shared" si="4"/>
        <v>0.24784399972996662</v>
      </c>
    </row>
    <row r="20" spans="1:7" ht="15.75" customHeight="1" outlineLevel="3" x14ac:dyDescent="0.25">
      <c r="A20" s="10" t="s">
        <v>10</v>
      </c>
      <c r="B20" s="11">
        <v>11539612</v>
      </c>
      <c r="C20" s="11">
        <v>3026805</v>
      </c>
      <c r="D20" s="11">
        <v>2812254.36</v>
      </c>
      <c r="E20" s="11">
        <v>2812254.36</v>
      </c>
      <c r="F20" s="14">
        <f t="shared" si="3"/>
        <v>0.92911646439066931</v>
      </c>
      <c r="G20" s="14">
        <f t="shared" si="4"/>
        <v>0.24370441224540304</v>
      </c>
    </row>
    <row r="21" spans="1:7" ht="15.75" customHeight="1" outlineLevel="3" x14ac:dyDescent="0.25">
      <c r="A21" s="10" t="s">
        <v>11</v>
      </c>
      <c r="B21" s="11">
        <v>1474400</v>
      </c>
      <c r="C21" s="11">
        <v>360000</v>
      </c>
      <c r="D21" s="11">
        <v>35901</v>
      </c>
      <c r="E21" s="11">
        <v>35901</v>
      </c>
      <c r="F21" s="14">
        <f t="shared" si="3"/>
        <v>9.9724999999999994E-2</v>
      </c>
      <c r="G21" s="14">
        <f t="shared" si="4"/>
        <v>2.4349565925122083E-2</v>
      </c>
    </row>
    <row r="22" spans="1:7" ht="15.75" customHeight="1" outlineLevel="3" x14ac:dyDescent="0.25">
      <c r="A22" s="10" t="s">
        <v>12</v>
      </c>
      <c r="B22" s="11">
        <v>2233970</v>
      </c>
      <c r="C22" s="11">
        <v>460000</v>
      </c>
      <c r="D22" s="11">
        <v>349039.7</v>
      </c>
      <c r="E22" s="11">
        <v>349039.7</v>
      </c>
      <c r="F22" s="14">
        <f t="shared" si="3"/>
        <v>0.75878195652173919</v>
      </c>
      <c r="G22" s="14">
        <f t="shared" si="4"/>
        <v>0.15624189223669074</v>
      </c>
    </row>
    <row r="23" spans="1:7" ht="15.75" customHeight="1" outlineLevel="3" x14ac:dyDescent="0.25">
      <c r="A23" s="10" t="s">
        <v>13</v>
      </c>
      <c r="B23" s="11">
        <v>1411047</v>
      </c>
      <c r="C23" s="11">
        <v>782700</v>
      </c>
      <c r="D23" s="11">
        <v>103270.24</v>
      </c>
      <c r="E23" s="11">
        <v>103270.24</v>
      </c>
      <c r="F23" s="14">
        <f t="shared" si="3"/>
        <v>0.13194102465823432</v>
      </c>
      <c r="G23" s="14">
        <f t="shared" si="4"/>
        <v>7.3186959753998276E-2</v>
      </c>
    </row>
    <row r="24" spans="1:7" ht="15.75" customHeight="1" outlineLevel="3" x14ac:dyDescent="0.25">
      <c r="A24" s="10" t="s">
        <v>14</v>
      </c>
      <c r="B24" s="11">
        <v>202000</v>
      </c>
      <c r="C24" s="11">
        <v>45200</v>
      </c>
      <c r="D24" s="11">
        <v>20668.8</v>
      </c>
      <c r="E24" s="11">
        <v>20668.8</v>
      </c>
      <c r="F24" s="14">
        <f t="shared" si="3"/>
        <v>0.45727433628318581</v>
      </c>
      <c r="G24" s="14">
        <f t="shared" si="4"/>
        <v>0.10232079207920791</v>
      </c>
    </row>
    <row r="25" spans="1:7" ht="15.75" customHeight="1" outlineLevel="3" x14ac:dyDescent="0.25">
      <c r="A25" s="10" t="s">
        <v>15</v>
      </c>
      <c r="B25" s="11">
        <v>1688667</v>
      </c>
      <c r="C25" s="11">
        <v>429000</v>
      </c>
      <c r="D25" s="11">
        <v>276940.11</v>
      </c>
      <c r="E25" s="11">
        <v>276940.11</v>
      </c>
      <c r="F25" s="14">
        <f t="shared" si="3"/>
        <v>0.64554804195804194</v>
      </c>
      <c r="G25" s="14">
        <f t="shared" si="4"/>
        <v>0.16399924319004278</v>
      </c>
    </row>
    <row r="26" spans="1:7" ht="28.5" customHeight="1" outlineLevel="3" x14ac:dyDescent="0.25">
      <c r="A26" s="10" t="s">
        <v>16</v>
      </c>
      <c r="B26" s="11">
        <v>8000</v>
      </c>
      <c r="C26" s="11">
        <v>6000</v>
      </c>
      <c r="D26" s="12"/>
      <c r="E26" s="12"/>
      <c r="F26" s="14">
        <f t="shared" si="3"/>
        <v>0</v>
      </c>
      <c r="G26" s="14">
        <f t="shared" si="4"/>
        <v>0</v>
      </c>
    </row>
    <row r="27" spans="1:7" ht="16.5" customHeight="1" outlineLevel="3" x14ac:dyDescent="0.25">
      <c r="A27" s="10" t="s">
        <v>18</v>
      </c>
      <c r="B27" s="11">
        <v>30000</v>
      </c>
      <c r="C27" s="11">
        <v>7000</v>
      </c>
      <c r="D27" s="11">
        <v>3268.4</v>
      </c>
      <c r="E27" s="11">
        <v>3268.4</v>
      </c>
      <c r="F27" s="14">
        <f t="shared" si="3"/>
        <v>0.46691428571428573</v>
      </c>
      <c r="G27" s="14">
        <f t="shared" si="4"/>
        <v>0.10894666666666666</v>
      </c>
    </row>
    <row r="28" spans="1:7" ht="27.75" customHeight="1" outlineLevel="3" x14ac:dyDescent="0.25">
      <c r="A28" s="10" t="s">
        <v>56</v>
      </c>
      <c r="B28" s="11">
        <v>550000</v>
      </c>
      <c r="C28" s="11">
        <v>250000</v>
      </c>
      <c r="D28" s="12"/>
      <c r="E28" s="12"/>
      <c r="F28" s="14">
        <f t="shared" si="3"/>
        <v>0</v>
      </c>
      <c r="G28" s="14">
        <f t="shared" si="4"/>
        <v>0</v>
      </c>
    </row>
    <row r="29" spans="1:7" s="78" customFormat="1" ht="24.75" customHeight="1" outlineLevel="2" x14ac:dyDescent="0.25">
      <c r="A29" s="8" t="s">
        <v>19</v>
      </c>
      <c r="B29" s="9">
        <v>8562015</v>
      </c>
      <c r="C29" s="9">
        <v>2409818</v>
      </c>
      <c r="D29" s="9">
        <v>2108593.04</v>
      </c>
      <c r="E29" s="9">
        <v>2108593.04</v>
      </c>
      <c r="F29" s="16">
        <f t="shared" si="3"/>
        <v>0.87500095027923275</v>
      </c>
      <c r="G29" s="16">
        <f t="shared" si="4"/>
        <v>0.24627299064530955</v>
      </c>
    </row>
    <row r="30" spans="1:7" ht="15" customHeight="1" outlineLevel="3" x14ac:dyDescent="0.25">
      <c r="A30" s="10" t="s">
        <v>9</v>
      </c>
      <c r="B30" s="11">
        <v>6619134</v>
      </c>
      <c r="C30" s="11">
        <v>1864782</v>
      </c>
      <c r="D30" s="11">
        <v>1699054.41</v>
      </c>
      <c r="E30" s="11">
        <v>1699054.41</v>
      </c>
      <c r="F30" s="14">
        <f t="shared" si="3"/>
        <v>0.91112763314961209</v>
      </c>
      <c r="G30" s="14">
        <f t="shared" si="4"/>
        <v>0.25668832357828075</v>
      </c>
    </row>
    <row r="31" spans="1:7" ht="15" customHeight="1" outlineLevel="3" x14ac:dyDescent="0.25">
      <c r="A31" s="10" t="s">
        <v>10</v>
      </c>
      <c r="B31" s="11">
        <v>1456209</v>
      </c>
      <c r="C31" s="11">
        <v>413583</v>
      </c>
      <c r="D31" s="11">
        <v>377122.55</v>
      </c>
      <c r="E31" s="11">
        <v>377122.55</v>
      </c>
      <c r="F31" s="14">
        <f t="shared" si="3"/>
        <v>0.91184248385451039</v>
      </c>
      <c r="G31" s="14">
        <f t="shared" si="4"/>
        <v>0.25897556600735194</v>
      </c>
    </row>
    <row r="32" spans="1:7" ht="15" customHeight="1" outlineLevel="3" x14ac:dyDescent="0.25">
      <c r="A32" s="10" t="s">
        <v>11</v>
      </c>
      <c r="B32" s="11">
        <v>102600</v>
      </c>
      <c r="C32" s="11">
        <v>39600</v>
      </c>
      <c r="D32" s="12"/>
      <c r="E32" s="12"/>
      <c r="F32" s="14">
        <f t="shared" si="3"/>
        <v>0</v>
      </c>
      <c r="G32" s="14">
        <f t="shared" si="4"/>
        <v>0</v>
      </c>
    </row>
    <row r="33" spans="1:7" ht="15" customHeight="1" outlineLevel="3" x14ac:dyDescent="0.25">
      <c r="A33" s="10" t="s">
        <v>12</v>
      </c>
      <c r="B33" s="11">
        <v>124800</v>
      </c>
      <c r="C33" s="11">
        <v>35300</v>
      </c>
      <c r="D33" s="11">
        <v>14188.57</v>
      </c>
      <c r="E33" s="11">
        <v>14188.57</v>
      </c>
      <c r="F33" s="14">
        <f t="shared" si="3"/>
        <v>0.40194249291784701</v>
      </c>
      <c r="G33" s="14">
        <f t="shared" si="4"/>
        <v>0.11369046474358974</v>
      </c>
    </row>
    <row r="34" spans="1:7" ht="15" customHeight="1" outlineLevel="3" x14ac:dyDescent="0.25">
      <c r="A34" s="10" t="s">
        <v>13</v>
      </c>
      <c r="B34" s="11">
        <v>53637</v>
      </c>
      <c r="C34" s="11">
        <v>30305</v>
      </c>
      <c r="D34" s="12"/>
      <c r="E34" s="12"/>
      <c r="F34" s="14">
        <f t="shared" si="3"/>
        <v>0</v>
      </c>
      <c r="G34" s="14">
        <f t="shared" si="4"/>
        <v>0</v>
      </c>
    </row>
    <row r="35" spans="1:7" ht="15" customHeight="1" outlineLevel="3" x14ac:dyDescent="0.25">
      <c r="A35" s="10" t="s">
        <v>14</v>
      </c>
      <c r="B35" s="11">
        <v>22673</v>
      </c>
      <c r="C35" s="11">
        <v>5668</v>
      </c>
      <c r="D35" s="11">
        <v>1808.86</v>
      </c>
      <c r="E35" s="11">
        <v>1808.86</v>
      </c>
      <c r="F35" s="14">
        <f t="shared" si="3"/>
        <v>0.31913549752999293</v>
      </c>
      <c r="G35" s="14">
        <f t="shared" si="4"/>
        <v>7.9780355488907509E-2</v>
      </c>
    </row>
    <row r="36" spans="1:7" ht="15" customHeight="1" outlineLevel="3" x14ac:dyDescent="0.25">
      <c r="A36" s="10" t="s">
        <v>15</v>
      </c>
      <c r="B36" s="11">
        <v>81862</v>
      </c>
      <c r="C36" s="11">
        <v>19580</v>
      </c>
      <c r="D36" s="11">
        <v>16418.650000000001</v>
      </c>
      <c r="E36" s="11">
        <v>16418.650000000001</v>
      </c>
      <c r="F36" s="14">
        <f t="shared" si="3"/>
        <v>0.83854187946884584</v>
      </c>
      <c r="G36" s="14">
        <f t="shared" si="4"/>
        <v>0.20056497520216951</v>
      </c>
    </row>
    <row r="37" spans="1:7" ht="27.75" customHeight="1" outlineLevel="3" x14ac:dyDescent="0.25">
      <c r="A37" s="10" t="s">
        <v>16</v>
      </c>
      <c r="B37" s="11">
        <v>1300</v>
      </c>
      <c r="C37" s="11">
        <v>1000</v>
      </c>
      <c r="D37" s="12"/>
      <c r="E37" s="12"/>
      <c r="F37" s="14">
        <f t="shared" si="3"/>
        <v>0</v>
      </c>
      <c r="G37" s="14">
        <f t="shared" si="4"/>
        <v>0</v>
      </c>
    </row>
    <row r="38" spans="1:7" ht="25.5" customHeight="1" outlineLevel="3" x14ac:dyDescent="0.25">
      <c r="A38" s="10" t="s">
        <v>56</v>
      </c>
      <c r="B38" s="11">
        <v>99800</v>
      </c>
      <c r="C38" s="12"/>
      <c r="D38" s="12"/>
      <c r="E38" s="12"/>
      <c r="F38" s="14">
        <v>0</v>
      </c>
      <c r="G38" s="14">
        <f t="shared" si="4"/>
        <v>0</v>
      </c>
    </row>
    <row r="39" spans="1:7" s="79" customFormat="1" ht="26.25" customHeight="1" outlineLevel="2" x14ac:dyDescent="0.25">
      <c r="A39" s="8" t="s">
        <v>20</v>
      </c>
      <c r="B39" s="9">
        <v>44685654</v>
      </c>
      <c r="C39" s="9">
        <v>11439289</v>
      </c>
      <c r="D39" s="9">
        <v>10721285.84</v>
      </c>
      <c r="E39" s="9">
        <v>10721285.84</v>
      </c>
      <c r="F39" s="16">
        <f t="shared" ref="F39:F56" si="5">D39/C39</f>
        <v>0.93723358505935117</v>
      </c>
      <c r="G39" s="16">
        <f t="shared" si="4"/>
        <v>0.23992679708794237</v>
      </c>
    </row>
    <row r="40" spans="1:7" ht="15.75" customHeight="1" outlineLevel="3" x14ac:dyDescent="0.25">
      <c r="A40" s="10" t="s">
        <v>9</v>
      </c>
      <c r="B40" s="11">
        <v>34610936</v>
      </c>
      <c r="C40" s="11">
        <v>8790625</v>
      </c>
      <c r="D40" s="11">
        <v>8460061.8399999999</v>
      </c>
      <c r="E40" s="11">
        <v>8460061.8399999999</v>
      </c>
      <c r="F40" s="14">
        <f t="shared" si="5"/>
        <v>0.96239594340561674</v>
      </c>
      <c r="G40" s="14">
        <f t="shared" ref="G40:G71" si="6">D40/B40</f>
        <v>0.24443319995737764</v>
      </c>
    </row>
    <row r="41" spans="1:7" ht="15.75" customHeight="1" outlineLevel="3" x14ac:dyDescent="0.25">
      <c r="A41" s="10" t="s">
        <v>10</v>
      </c>
      <c r="B41" s="11">
        <v>7614406</v>
      </c>
      <c r="C41" s="11">
        <v>1910402</v>
      </c>
      <c r="D41" s="11">
        <v>1755989.86</v>
      </c>
      <c r="E41" s="11">
        <v>1755989.86</v>
      </c>
      <c r="F41" s="14">
        <f t="shared" si="5"/>
        <v>0.91917295940854338</v>
      </c>
      <c r="G41" s="14">
        <f t="shared" si="6"/>
        <v>0.23061416215526204</v>
      </c>
    </row>
    <row r="42" spans="1:7" ht="15.75" customHeight="1" outlineLevel="3" x14ac:dyDescent="0.25">
      <c r="A42" s="10" t="s">
        <v>11</v>
      </c>
      <c r="B42" s="11">
        <v>750000</v>
      </c>
      <c r="C42" s="11">
        <v>210000</v>
      </c>
      <c r="D42" s="11">
        <v>206814.29</v>
      </c>
      <c r="E42" s="11">
        <v>206814.29</v>
      </c>
      <c r="F42" s="14">
        <f t="shared" si="5"/>
        <v>0.98482995238095239</v>
      </c>
      <c r="G42" s="14">
        <f t="shared" si="6"/>
        <v>0.27575238666666668</v>
      </c>
    </row>
    <row r="43" spans="1:7" ht="15.75" customHeight="1" outlineLevel="3" x14ac:dyDescent="0.25">
      <c r="A43" s="10" t="s">
        <v>12</v>
      </c>
      <c r="B43" s="11">
        <v>472000</v>
      </c>
      <c r="C43" s="11">
        <v>140000</v>
      </c>
      <c r="D43" s="11">
        <v>48241.88</v>
      </c>
      <c r="E43" s="11">
        <v>48241.88</v>
      </c>
      <c r="F43" s="14">
        <f t="shared" si="5"/>
        <v>0.34458485714285714</v>
      </c>
      <c r="G43" s="14">
        <f t="shared" si="6"/>
        <v>0.10220737288135592</v>
      </c>
    </row>
    <row r="44" spans="1:7" ht="15.75" customHeight="1" outlineLevel="3" x14ac:dyDescent="0.25">
      <c r="A44" s="10" t="s">
        <v>21</v>
      </c>
      <c r="B44" s="11">
        <v>18000</v>
      </c>
      <c r="C44" s="11">
        <v>4500</v>
      </c>
      <c r="D44" s="11">
        <v>3736</v>
      </c>
      <c r="E44" s="11">
        <v>3736</v>
      </c>
      <c r="F44" s="14">
        <f t="shared" si="5"/>
        <v>0.83022222222222219</v>
      </c>
      <c r="G44" s="14">
        <f t="shared" si="6"/>
        <v>0.20755555555555555</v>
      </c>
    </row>
    <row r="45" spans="1:7" ht="15.75" customHeight="1" outlineLevel="3" x14ac:dyDescent="0.25">
      <c r="A45" s="10" t="s">
        <v>13</v>
      </c>
      <c r="B45" s="11">
        <v>754444</v>
      </c>
      <c r="C45" s="11">
        <v>284430</v>
      </c>
      <c r="D45" s="11">
        <v>205618.89</v>
      </c>
      <c r="E45" s="11">
        <v>205618.89</v>
      </c>
      <c r="F45" s="14">
        <f t="shared" si="5"/>
        <v>0.7229156207151145</v>
      </c>
      <c r="G45" s="14">
        <f t="shared" si="6"/>
        <v>0.27254360827311241</v>
      </c>
    </row>
    <row r="46" spans="1:7" ht="15.75" customHeight="1" outlineLevel="3" x14ac:dyDescent="0.25">
      <c r="A46" s="10" t="s">
        <v>14</v>
      </c>
      <c r="B46" s="11">
        <v>26368</v>
      </c>
      <c r="C46" s="11">
        <v>7277</v>
      </c>
      <c r="D46" s="11">
        <v>5117.5200000000004</v>
      </c>
      <c r="E46" s="11">
        <v>5117.5200000000004</v>
      </c>
      <c r="F46" s="14">
        <f t="shared" si="5"/>
        <v>0.70324584306719806</v>
      </c>
      <c r="G46" s="14">
        <f t="shared" si="6"/>
        <v>0.19408070388349516</v>
      </c>
    </row>
    <row r="47" spans="1:7" ht="15.75" customHeight="1" outlineLevel="3" x14ac:dyDescent="0.25">
      <c r="A47" s="10" t="s">
        <v>15</v>
      </c>
      <c r="B47" s="11">
        <v>379500</v>
      </c>
      <c r="C47" s="11">
        <v>77055</v>
      </c>
      <c r="D47" s="11">
        <v>29049.56</v>
      </c>
      <c r="E47" s="11">
        <v>29049.56</v>
      </c>
      <c r="F47" s="14">
        <f t="shared" si="5"/>
        <v>0.37699772889494521</v>
      </c>
      <c r="G47" s="14">
        <f t="shared" si="6"/>
        <v>7.6546930171278005E-2</v>
      </c>
    </row>
    <row r="48" spans="1:7" ht="15.75" customHeight="1" outlineLevel="3" x14ac:dyDescent="0.25">
      <c r="A48" s="10" t="s">
        <v>18</v>
      </c>
      <c r="B48" s="11">
        <v>60000</v>
      </c>
      <c r="C48" s="11">
        <v>15000</v>
      </c>
      <c r="D48" s="11">
        <v>6656</v>
      </c>
      <c r="E48" s="11">
        <v>6656</v>
      </c>
      <c r="F48" s="14">
        <f t="shared" si="5"/>
        <v>0.44373333333333331</v>
      </c>
      <c r="G48" s="14">
        <f t="shared" si="6"/>
        <v>0.11093333333333333</v>
      </c>
    </row>
    <row r="49" spans="1:7" s="78" customFormat="1" ht="29.25" customHeight="1" outlineLevel="2" x14ac:dyDescent="0.25">
      <c r="A49" s="8" t="s">
        <v>92</v>
      </c>
      <c r="B49" s="9">
        <v>9979327</v>
      </c>
      <c r="C49" s="9">
        <v>2839098</v>
      </c>
      <c r="D49" s="9">
        <v>2631008.0099999998</v>
      </c>
      <c r="E49" s="9">
        <v>2631008.0099999998</v>
      </c>
      <c r="F49" s="16">
        <f t="shared" si="5"/>
        <v>0.9267055980455764</v>
      </c>
      <c r="G49" s="16">
        <f t="shared" si="6"/>
        <v>0.26364583603683894</v>
      </c>
    </row>
    <row r="50" spans="1:7" ht="15" customHeight="1" outlineLevel="3" x14ac:dyDescent="0.25">
      <c r="A50" s="10" t="s">
        <v>9</v>
      </c>
      <c r="B50" s="11">
        <v>7486805</v>
      </c>
      <c r="C50" s="11">
        <v>2155361</v>
      </c>
      <c r="D50" s="11">
        <v>2069656.9</v>
      </c>
      <c r="E50" s="11">
        <v>2069656.9</v>
      </c>
      <c r="F50" s="14">
        <f t="shared" si="5"/>
        <v>0.96023677704106181</v>
      </c>
      <c r="G50" s="14">
        <f t="shared" si="6"/>
        <v>0.2764406045035232</v>
      </c>
    </row>
    <row r="51" spans="1:7" ht="15" customHeight="1" outlineLevel="3" x14ac:dyDescent="0.25">
      <c r="A51" s="10" t="s">
        <v>10</v>
      </c>
      <c r="B51" s="11">
        <v>1647097</v>
      </c>
      <c r="C51" s="11">
        <v>476557</v>
      </c>
      <c r="D51" s="11">
        <v>454122.85</v>
      </c>
      <c r="E51" s="11">
        <v>454122.85</v>
      </c>
      <c r="F51" s="14">
        <f t="shared" si="5"/>
        <v>0.95292451899772745</v>
      </c>
      <c r="G51" s="14">
        <f t="shared" si="6"/>
        <v>0.27571105405449708</v>
      </c>
    </row>
    <row r="52" spans="1:7" ht="15" customHeight="1" outlineLevel="3" x14ac:dyDescent="0.25">
      <c r="A52" s="10" t="s">
        <v>11</v>
      </c>
      <c r="B52" s="11">
        <v>168900</v>
      </c>
      <c r="C52" s="11">
        <v>61500</v>
      </c>
      <c r="D52" s="11">
        <v>57825</v>
      </c>
      <c r="E52" s="11">
        <v>57825</v>
      </c>
      <c r="F52" s="14">
        <f t="shared" si="5"/>
        <v>0.94024390243902434</v>
      </c>
      <c r="G52" s="14">
        <f t="shared" si="6"/>
        <v>0.34236234458259324</v>
      </c>
    </row>
    <row r="53" spans="1:7" ht="15" customHeight="1" outlineLevel="3" x14ac:dyDescent="0.25">
      <c r="A53" s="10" t="s">
        <v>12</v>
      </c>
      <c r="B53" s="11">
        <v>356300</v>
      </c>
      <c r="C53" s="11">
        <v>69810</v>
      </c>
      <c r="D53" s="11">
        <v>20995.87</v>
      </c>
      <c r="E53" s="11">
        <v>20995.87</v>
      </c>
      <c r="F53" s="14">
        <f t="shared" si="5"/>
        <v>0.30075734135510668</v>
      </c>
      <c r="G53" s="14">
        <f t="shared" si="6"/>
        <v>5.892750491159135E-2</v>
      </c>
    </row>
    <row r="54" spans="1:7" ht="15" customHeight="1" outlineLevel="3" x14ac:dyDescent="0.25">
      <c r="A54" s="10" t="s">
        <v>13</v>
      </c>
      <c r="B54" s="11">
        <v>67260</v>
      </c>
      <c r="C54" s="11">
        <v>37380</v>
      </c>
      <c r="D54" s="12"/>
      <c r="E54" s="12"/>
      <c r="F54" s="14">
        <f t="shared" si="5"/>
        <v>0</v>
      </c>
      <c r="G54" s="14">
        <f t="shared" si="6"/>
        <v>0</v>
      </c>
    </row>
    <row r="55" spans="1:7" ht="15" customHeight="1" outlineLevel="3" x14ac:dyDescent="0.25">
      <c r="A55" s="10" t="s">
        <v>14</v>
      </c>
      <c r="B55" s="11">
        <v>18005</v>
      </c>
      <c r="C55" s="11">
        <v>4500</v>
      </c>
      <c r="D55" s="11">
        <v>2226.29</v>
      </c>
      <c r="E55" s="11">
        <v>2226.29</v>
      </c>
      <c r="F55" s="14">
        <f t="shared" si="5"/>
        <v>0.49473111111111112</v>
      </c>
      <c r="G55" s="14">
        <f t="shared" si="6"/>
        <v>0.12364843099139128</v>
      </c>
    </row>
    <row r="56" spans="1:7" ht="15" customHeight="1" outlineLevel="3" x14ac:dyDescent="0.25">
      <c r="A56" s="10" t="s">
        <v>15</v>
      </c>
      <c r="B56" s="11">
        <v>135960</v>
      </c>
      <c r="C56" s="11">
        <v>33990</v>
      </c>
      <c r="D56" s="11">
        <v>26181.1</v>
      </c>
      <c r="E56" s="11">
        <v>26181.1</v>
      </c>
      <c r="F56" s="14">
        <f t="shared" si="5"/>
        <v>0.7702588996763754</v>
      </c>
      <c r="G56" s="14">
        <f t="shared" si="6"/>
        <v>0.19256472491909385</v>
      </c>
    </row>
    <row r="57" spans="1:7" ht="27.75" customHeight="1" outlineLevel="3" x14ac:dyDescent="0.25">
      <c r="A57" s="10" t="s">
        <v>56</v>
      </c>
      <c r="B57" s="11">
        <v>99000</v>
      </c>
      <c r="C57" s="12"/>
      <c r="D57" s="12"/>
      <c r="E57" s="12"/>
      <c r="F57" s="14">
        <v>0</v>
      </c>
      <c r="G57" s="14">
        <f t="shared" si="6"/>
        <v>0</v>
      </c>
    </row>
    <row r="58" spans="1:7" s="78" customFormat="1" ht="28.5" customHeight="1" outlineLevel="2" x14ac:dyDescent="0.25">
      <c r="A58" s="8" t="s">
        <v>22</v>
      </c>
      <c r="B58" s="9">
        <v>3642616</v>
      </c>
      <c r="C58" s="9">
        <v>1144457</v>
      </c>
      <c r="D58" s="9">
        <v>1040445.26</v>
      </c>
      <c r="E58" s="9">
        <v>1040445.26</v>
      </c>
      <c r="F58" s="16">
        <f t="shared" ref="F58:F69" si="7">D58/C58</f>
        <v>0.90911695240625034</v>
      </c>
      <c r="G58" s="16">
        <f t="shared" si="6"/>
        <v>0.28563133198778023</v>
      </c>
    </row>
    <row r="59" spans="1:7" ht="16.5" customHeight="1" outlineLevel="3" x14ac:dyDescent="0.25">
      <c r="A59" s="10" t="s">
        <v>9</v>
      </c>
      <c r="B59" s="11">
        <v>2601337</v>
      </c>
      <c r="C59" s="11">
        <v>791334</v>
      </c>
      <c r="D59" s="11">
        <v>740745.34</v>
      </c>
      <c r="E59" s="11">
        <v>740745.34</v>
      </c>
      <c r="F59" s="14">
        <f t="shared" si="7"/>
        <v>0.93607167138022629</v>
      </c>
      <c r="G59" s="14">
        <f t="shared" si="6"/>
        <v>0.28475562374271385</v>
      </c>
    </row>
    <row r="60" spans="1:7" ht="16.5" customHeight="1" outlineLevel="3" x14ac:dyDescent="0.25">
      <c r="A60" s="10" t="s">
        <v>10</v>
      </c>
      <c r="B60" s="11">
        <v>572294</v>
      </c>
      <c r="C60" s="11">
        <v>174073</v>
      </c>
      <c r="D60" s="11">
        <v>162963.95000000001</v>
      </c>
      <c r="E60" s="11">
        <v>162963.95000000001</v>
      </c>
      <c r="F60" s="14">
        <f t="shared" si="7"/>
        <v>0.93618165941874965</v>
      </c>
      <c r="G60" s="14">
        <f t="shared" si="6"/>
        <v>0.2847556500679721</v>
      </c>
    </row>
    <row r="61" spans="1:7" ht="16.5" customHeight="1" outlineLevel="3" x14ac:dyDescent="0.25">
      <c r="A61" s="10" t="s">
        <v>11</v>
      </c>
      <c r="B61" s="11">
        <v>134700</v>
      </c>
      <c r="C61" s="11">
        <v>112700</v>
      </c>
      <c r="D61" s="11">
        <v>103900</v>
      </c>
      <c r="E61" s="11">
        <v>103900</v>
      </c>
      <c r="F61" s="14">
        <f t="shared" si="7"/>
        <v>0.92191659272404614</v>
      </c>
      <c r="G61" s="14">
        <f t="shared" si="6"/>
        <v>0.77134372680029695</v>
      </c>
    </row>
    <row r="62" spans="1:7" ht="16.5" customHeight="1" outlineLevel="3" x14ac:dyDescent="0.25">
      <c r="A62" s="10" t="s">
        <v>12</v>
      </c>
      <c r="B62" s="11">
        <v>159327</v>
      </c>
      <c r="C62" s="11">
        <v>33000</v>
      </c>
      <c r="D62" s="11">
        <v>18399.3</v>
      </c>
      <c r="E62" s="11">
        <v>18399.3</v>
      </c>
      <c r="F62" s="14">
        <f t="shared" si="7"/>
        <v>0.55755454545454541</v>
      </c>
      <c r="G62" s="14">
        <f t="shared" si="6"/>
        <v>0.11548136850627953</v>
      </c>
    </row>
    <row r="63" spans="1:7" ht="16.5" customHeight="1" outlineLevel="3" x14ac:dyDescent="0.25">
      <c r="A63" s="10" t="s">
        <v>13</v>
      </c>
      <c r="B63" s="11">
        <v>25209</v>
      </c>
      <c r="C63" s="11">
        <v>19000</v>
      </c>
      <c r="D63" s="11">
        <v>5033.54</v>
      </c>
      <c r="E63" s="11">
        <v>5033.54</v>
      </c>
      <c r="F63" s="14">
        <f t="shared" si="7"/>
        <v>0.26492315789473686</v>
      </c>
      <c r="G63" s="14">
        <f t="shared" si="6"/>
        <v>0.19967233924392083</v>
      </c>
    </row>
    <row r="64" spans="1:7" ht="16.5" customHeight="1" outlineLevel="3" x14ac:dyDescent="0.25">
      <c r="A64" s="10" t="s">
        <v>14</v>
      </c>
      <c r="B64" s="11">
        <v>3449</v>
      </c>
      <c r="C64" s="11">
        <v>1050</v>
      </c>
      <c r="D64" s="13">
        <v>655.54</v>
      </c>
      <c r="E64" s="13">
        <v>655.54</v>
      </c>
      <c r="F64" s="14">
        <f t="shared" si="7"/>
        <v>0.6243238095238095</v>
      </c>
      <c r="G64" s="14">
        <f t="shared" si="6"/>
        <v>0.19006668599594084</v>
      </c>
    </row>
    <row r="65" spans="1:7" ht="16.5" customHeight="1" outlineLevel="3" x14ac:dyDescent="0.25">
      <c r="A65" s="10" t="s">
        <v>15</v>
      </c>
      <c r="B65" s="11">
        <v>45100</v>
      </c>
      <c r="C65" s="11">
        <v>12100</v>
      </c>
      <c r="D65" s="11">
        <v>8747.59</v>
      </c>
      <c r="E65" s="11">
        <v>8747.59</v>
      </c>
      <c r="F65" s="14">
        <f t="shared" si="7"/>
        <v>0.72294132231404962</v>
      </c>
      <c r="G65" s="14">
        <f t="shared" si="6"/>
        <v>0.19395986696230599</v>
      </c>
    </row>
    <row r="66" spans="1:7" ht="24.75" customHeight="1" outlineLevel="3" x14ac:dyDescent="0.25">
      <c r="A66" s="10" t="s">
        <v>56</v>
      </c>
      <c r="B66" s="11">
        <v>101200</v>
      </c>
      <c r="C66" s="11">
        <v>1200</v>
      </c>
      <c r="D66" s="12"/>
      <c r="E66" s="12"/>
      <c r="F66" s="14">
        <f t="shared" si="7"/>
        <v>0</v>
      </c>
      <c r="G66" s="14">
        <f t="shared" si="6"/>
        <v>0</v>
      </c>
    </row>
    <row r="67" spans="1:7" s="78" customFormat="1" ht="27.75" customHeight="1" outlineLevel="2" x14ac:dyDescent="0.25">
      <c r="A67" s="8" t="s">
        <v>23</v>
      </c>
      <c r="B67" s="9">
        <v>15219262</v>
      </c>
      <c r="C67" s="9">
        <v>3984066</v>
      </c>
      <c r="D67" s="9">
        <v>3911136.03</v>
      </c>
      <c r="E67" s="9">
        <v>3911136.03</v>
      </c>
      <c r="F67" s="16">
        <f t="shared" si="7"/>
        <v>0.98169458789086317</v>
      </c>
      <c r="G67" s="16">
        <f t="shared" si="6"/>
        <v>0.2569859188967244</v>
      </c>
    </row>
    <row r="68" spans="1:7" ht="15.75" customHeight="1" outlineLevel="3" x14ac:dyDescent="0.25">
      <c r="A68" s="10" t="s">
        <v>9</v>
      </c>
      <c r="B68" s="11">
        <v>12462510</v>
      </c>
      <c r="C68" s="11">
        <v>3265629</v>
      </c>
      <c r="D68" s="11">
        <v>3202293.77</v>
      </c>
      <c r="E68" s="11">
        <v>3202293.77</v>
      </c>
      <c r="F68" s="14">
        <f t="shared" si="7"/>
        <v>0.98060550356455067</v>
      </c>
      <c r="G68" s="14">
        <f t="shared" si="6"/>
        <v>0.25695415851220982</v>
      </c>
    </row>
    <row r="69" spans="1:7" ht="15.75" customHeight="1" outlineLevel="3" x14ac:dyDescent="0.25">
      <c r="A69" s="10" t="s">
        <v>10</v>
      </c>
      <c r="B69" s="11">
        <v>2741752</v>
      </c>
      <c r="C69" s="11">
        <v>718437</v>
      </c>
      <c r="D69" s="11">
        <v>708842.26</v>
      </c>
      <c r="E69" s="11">
        <v>708842.26</v>
      </c>
      <c r="F69" s="14">
        <f t="shared" si="7"/>
        <v>0.98664498070116102</v>
      </c>
      <c r="G69" s="14">
        <f t="shared" si="6"/>
        <v>0.25853624251938179</v>
      </c>
    </row>
    <row r="70" spans="1:7" ht="15.75" customHeight="1" outlineLevel="3" x14ac:dyDescent="0.25">
      <c r="A70" s="10" t="s">
        <v>11</v>
      </c>
      <c r="B70" s="11">
        <v>15000</v>
      </c>
      <c r="C70" s="12"/>
      <c r="D70" s="12"/>
      <c r="E70" s="12"/>
      <c r="F70" s="14">
        <v>0</v>
      </c>
      <c r="G70" s="14">
        <f t="shared" si="6"/>
        <v>0</v>
      </c>
    </row>
    <row r="71" spans="1:7" s="78" customFormat="1" ht="27.75" customHeight="1" outlineLevel="2" x14ac:dyDescent="0.25">
      <c r="A71" s="8" t="s">
        <v>24</v>
      </c>
      <c r="B71" s="9">
        <v>16204679</v>
      </c>
      <c r="C71" s="9">
        <v>4541060</v>
      </c>
      <c r="D71" s="9">
        <v>3721901.37</v>
      </c>
      <c r="E71" s="9">
        <v>3721901.37</v>
      </c>
      <c r="F71" s="16">
        <f t="shared" ref="F71:F90" si="8">D71/C71</f>
        <v>0.81961070102575173</v>
      </c>
      <c r="G71" s="16">
        <f t="shared" si="6"/>
        <v>0.22968066013526095</v>
      </c>
    </row>
    <row r="72" spans="1:7" ht="15.75" customHeight="1" outlineLevel="3" x14ac:dyDescent="0.25">
      <c r="A72" s="10" t="s">
        <v>9</v>
      </c>
      <c r="B72" s="11">
        <v>11123899</v>
      </c>
      <c r="C72" s="11">
        <v>2899023</v>
      </c>
      <c r="D72" s="11">
        <v>2692230.72</v>
      </c>
      <c r="E72" s="11">
        <v>2692230.72</v>
      </c>
      <c r="F72" s="14">
        <f t="shared" si="8"/>
        <v>0.92866828583284788</v>
      </c>
      <c r="G72" s="14">
        <f t="shared" ref="G72:G90" si="9">D72/B72</f>
        <v>0.24202221900792162</v>
      </c>
    </row>
    <row r="73" spans="1:7" ht="15.75" customHeight="1" outlineLevel="3" x14ac:dyDescent="0.25">
      <c r="A73" s="10" t="s">
        <v>10</v>
      </c>
      <c r="B73" s="11">
        <v>2447258</v>
      </c>
      <c r="C73" s="11">
        <v>658476</v>
      </c>
      <c r="D73" s="11">
        <v>612983.72</v>
      </c>
      <c r="E73" s="11">
        <v>612983.72</v>
      </c>
      <c r="F73" s="14">
        <f t="shared" si="8"/>
        <v>0.93091277434561015</v>
      </c>
      <c r="G73" s="14">
        <f t="shared" si="9"/>
        <v>0.25047776736249305</v>
      </c>
    </row>
    <row r="74" spans="1:7" ht="15.75" customHeight="1" outlineLevel="3" x14ac:dyDescent="0.25">
      <c r="A74" s="10" t="s">
        <v>11</v>
      </c>
      <c r="B74" s="11">
        <v>358109</v>
      </c>
      <c r="C74" s="11">
        <v>89909</v>
      </c>
      <c r="D74" s="11">
        <v>4200</v>
      </c>
      <c r="E74" s="11">
        <v>4200</v>
      </c>
      <c r="F74" s="14">
        <f t="shared" si="8"/>
        <v>4.6713899609605265E-2</v>
      </c>
      <c r="G74" s="14">
        <f t="shared" si="9"/>
        <v>1.1728272676754843E-2</v>
      </c>
    </row>
    <row r="75" spans="1:7" ht="15.75" customHeight="1" outlineLevel="3" x14ac:dyDescent="0.25">
      <c r="A75" s="10" t="s">
        <v>12</v>
      </c>
      <c r="B75" s="11">
        <v>770000</v>
      </c>
      <c r="C75" s="11">
        <v>193100</v>
      </c>
      <c r="D75" s="11">
        <v>167266.46</v>
      </c>
      <c r="E75" s="11">
        <v>167266.46</v>
      </c>
      <c r="F75" s="14">
        <f t="shared" si="8"/>
        <v>0.8662167788710512</v>
      </c>
      <c r="G75" s="14">
        <f t="shared" si="9"/>
        <v>0.21722916883116883</v>
      </c>
    </row>
    <row r="76" spans="1:7" ht="15.75" customHeight="1" outlineLevel="3" x14ac:dyDescent="0.25">
      <c r="A76" s="10" t="s">
        <v>13</v>
      </c>
      <c r="B76" s="11">
        <v>716049</v>
      </c>
      <c r="C76" s="11">
        <v>410588</v>
      </c>
      <c r="D76" s="11">
        <v>59185.33</v>
      </c>
      <c r="E76" s="11">
        <v>59185.33</v>
      </c>
      <c r="F76" s="14">
        <f t="shared" si="8"/>
        <v>0.14414773446861576</v>
      </c>
      <c r="G76" s="14">
        <f t="shared" si="9"/>
        <v>8.2655418833068692E-2</v>
      </c>
    </row>
    <row r="77" spans="1:7" ht="15.75" customHeight="1" outlineLevel="3" x14ac:dyDescent="0.25">
      <c r="A77" s="10" t="s">
        <v>14</v>
      </c>
      <c r="B77" s="11">
        <v>67269</v>
      </c>
      <c r="C77" s="11">
        <v>21008</v>
      </c>
      <c r="D77" s="11">
        <v>4436.8999999999996</v>
      </c>
      <c r="E77" s="11">
        <v>4436.8999999999996</v>
      </c>
      <c r="F77" s="14">
        <f t="shared" si="8"/>
        <v>0.21120049504950494</v>
      </c>
      <c r="G77" s="14">
        <f t="shared" si="9"/>
        <v>6.5957573325008539E-2</v>
      </c>
    </row>
    <row r="78" spans="1:7" ht="15.75" customHeight="1" outlineLevel="3" x14ac:dyDescent="0.25">
      <c r="A78" s="10" t="s">
        <v>15</v>
      </c>
      <c r="B78" s="11">
        <v>557095</v>
      </c>
      <c r="C78" s="11">
        <v>153956</v>
      </c>
      <c r="D78" s="11">
        <v>81401.87</v>
      </c>
      <c r="E78" s="11">
        <v>81401.87</v>
      </c>
      <c r="F78" s="14">
        <f t="shared" si="8"/>
        <v>0.52873463846813373</v>
      </c>
      <c r="G78" s="14">
        <f t="shared" si="9"/>
        <v>0.14611847171487807</v>
      </c>
    </row>
    <row r="79" spans="1:7" ht="15.75" customHeight="1" outlineLevel="3" x14ac:dyDescent="0.25">
      <c r="A79" s="10" t="s">
        <v>18</v>
      </c>
      <c r="B79" s="11">
        <v>15000</v>
      </c>
      <c r="C79" s="11">
        <v>15000</v>
      </c>
      <c r="D79" s="13">
        <v>596.37</v>
      </c>
      <c r="E79" s="13">
        <v>596.37</v>
      </c>
      <c r="F79" s="14">
        <f t="shared" si="8"/>
        <v>3.9758000000000002E-2</v>
      </c>
      <c r="G79" s="14">
        <f t="shared" si="9"/>
        <v>3.9758000000000002E-2</v>
      </c>
    </row>
    <row r="80" spans="1:7" ht="27.75" customHeight="1" outlineLevel="3" x14ac:dyDescent="0.25">
      <c r="A80" s="10" t="s">
        <v>56</v>
      </c>
      <c r="B80" s="11">
        <v>150000</v>
      </c>
      <c r="C80" s="11">
        <v>100000</v>
      </c>
      <c r="D80" s="11">
        <v>99600</v>
      </c>
      <c r="E80" s="11">
        <v>99600</v>
      </c>
      <c r="F80" s="14">
        <f t="shared" si="8"/>
        <v>0.996</v>
      </c>
      <c r="G80" s="14">
        <f t="shared" si="9"/>
        <v>0.66400000000000003</v>
      </c>
    </row>
    <row r="81" spans="1:7" s="78" customFormat="1" ht="29.25" customHeight="1" outlineLevel="2" x14ac:dyDescent="0.25">
      <c r="A81" s="8" t="s">
        <v>25</v>
      </c>
      <c r="B81" s="9">
        <v>3411488</v>
      </c>
      <c r="C81" s="9">
        <v>889459</v>
      </c>
      <c r="D81" s="9">
        <v>827106.19</v>
      </c>
      <c r="E81" s="9">
        <v>807906.19</v>
      </c>
      <c r="F81" s="16">
        <f t="shared" si="8"/>
        <v>0.92989805038793238</v>
      </c>
      <c r="G81" s="16">
        <f t="shared" si="9"/>
        <v>0.24244733969458487</v>
      </c>
    </row>
    <row r="82" spans="1:7" ht="15.75" customHeight="1" outlineLevel="3" x14ac:dyDescent="0.25">
      <c r="A82" s="10" t="s">
        <v>9</v>
      </c>
      <c r="B82" s="11">
        <v>2511272</v>
      </c>
      <c r="C82" s="11">
        <v>667819</v>
      </c>
      <c r="D82" s="11">
        <v>652292.63</v>
      </c>
      <c r="E82" s="11">
        <v>652292.63</v>
      </c>
      <c r="F82" s="14">
        <f t="shared" si="8"/>
        <v>0.97675063153339459</v>
      </c>
      <c r="G82" s="14">
        <f t="shared" si="9"/>
        <v>0.25974590964260341</v>
      </c>
    </row>
    <row r="83" spans="1:7" ht="15.75" customHeight="1" outlineLevel="3" x14ac:dyDescent="0.25">
      <c r="A83" s="10" t="s">
        <v>10</v>
      </c>
      <c r="B83" s="11">
        <v>552480</v>
      </c>
      <c r="C83" s="11">
        <v>146920</v>
      </c>
      <c r="D83" s="11">
        <v>143504.38</v>
      </c>
      <c r="E83" s="11">
        <v>143504.38</v>
      </c>
      <c r="F83" s="14">
        <f t="shared" si="8"/>
        <v>0.97675183773482166</v>
      </c>
      <c r="G83" s="14">
        <f t="shared" si="9"/>
        <v>0.25974583695337389</v>
      </c>
    </row>
    <row r="84" spans="1:7" ht="15.75" customHeight="1" outlineLevel="3" x14ac:dyDescent="0.25">
      <c r="A84" s="10" t="s">
        <v>11</v>
      </c>
      <c r="B84" s="11">
        <v>50000</v>
      </c>
      <c r="C84" s="11">
        <v>20000</v>
      </c>
      <c r="D84" s="11">
        <v>19200</v>
      </c>
      <c r="E84" s="12"/>
      <c r="F84" s="14">
        <f t="shared" si="8"/>
        <v>0.96</v>
      </c>
      <c r="G84" s="14">
        <f t="shared" si="9"/>
        <v>0.38400000000000001</v>
      </c>
    </row>
    <row r="85" spans="1:7" ht="15.75" customHeight="1" outlineLevel="3" x14ac:dyDescent="0.25">
      <c r="A85" s="10" t="s">
        <v>12</v>
      </c>
      <c r="B85" s="11">
        <v>233100</v>
      </c>
      <c r="C85" s="11">
        <v>30000</v>
      </c>
      <c r="D85" s="11">
        <v>7255.65</v>
      </c>
      <c r="E85" s="11">
        <v>7255.65</v>
      </c>
      <c r="F85" s="14">
        <f t="shared" si="8"/>
        <v>0.24185499999999999</v>
      </c>
      <c r="G85" s="14">
        <f t="shared" si="9"/>
        <v>3.1126769626769624E-2</v>
      </c>
    </row>
    <row r="86" spans="1:7" ht="15.75" customHeight="1" outlineLevel="3" x14ac:dyDescent="0.25">
      <c r="A86" s="10" t="s">
        <v>13</v>
      </c>
      <c r="B86" s="11">
        <v>24673</v>
      </c>
      <c r="C86" s="11">
        <v>13087</v>
      </c>
      <c r="D86" s="12"/>
      <c r="E86" s="12"/>
      <c r="F86" s="14">
        <f t="shared" si="8"/>
        <v>0</v>
      </c>
      <c r="G86" s="14">
        <f t="shared" si="9"/>
        <v>0</v>
      </c>
    </row>
    <row r="87" spans="1:7" ht="15.75" customHeight="1" outlineLevel="3" x14ac:dyDescent="0.25">
      <c r="A87" s="10" t="s">
        <v>14</v>
      </c>
      <c r="B87" s="11">
        <v>2615</v>
      </c>
      <c r="C87" s="13">
        <v>671</v>
      </c>
      <c r="D87" s="13">
        <v>653.54</v>
      </c>
      <c r="E87" s="13">
        <v>653.54</v>
      </c>
      <c r="F87" s="14">
        <f t="shared" si="8"/>
        <v>0.97397913561847982</v>
      </c>
      <c r="G87" s="14">
        <f t="shared" si="9"/>
        <v>0.24991969407265774</v>
      </c>
    </row>
    <row r="88" spans="1:7" ht="15.75" customHeight="1" outlineLevel="3" x14ac:dyDescent="0.25">
      <c r="A88" s="10" t="s">
        <v>15</v>
      </c>
      <c r="B88" s="11">
        <v>28500</v>
      </c>
      <c r="C88" s="11">
        <v>7500</v>
      </c>
      <c r="D88" s="11">
        <v>3738</v>
      </c>
      <c r="E88" s="11">
        <v>3738</v>
      </c>
      <c r="F88" s="14">
        <f t="shared" si="8"/>
        <v>0.49840000000000001</v>
      </c>
      <c r="G88" s="14">
        <f t="shared" si="9"/>
        <v>0.13115789473684211</v>
      </c>
    </row>
    <row r="89" spans="1:7" ht="15.75" customHeight="1" outlineLevel="3" x14ac:dyDescent="0.25">
      <c r="A89" s="10" t="s">
        <v>26</v>
      </c>
      <c r="B89" s="11">
        <v>1848</v>
      </c>
      <c r="C89" s="13">
        <v>462</v>
      </c>
      <c r="D89" s="13">
        <v>461.99</v>
      </c>
      <c r="E89" s="13">
        <v>461.99</v>
      </c>
      <c r="F89" s="14">
        <f t="shared" si="8"/>
        <v>0.99997835497835497</v>
      </c>
      <c r="G89" s="14">
        <f t="shared" si="9"/>
        <v>0.24999458874458874</v>
      </c>
    </row>
    <row r="90" spans="1:7" ht="27.75" customHeight="1" outlineLevel="3" x14ac:dyDescent="0.25">
      <c r="A90" s="10" t="s">
        <v>16</v>
      </c>
      <c r="B90" s="11">
        <v>7000</v>
      </c>
      <c r="C90" s="11">
        <v>3000</v>
      </c>
      <c r="D90" s="12"/>
      <c r="E90" s="12"/>
      <c r="F90" s="14">
        <f t="shared" si="8"/>
        <v>0</v>
      </c>
      <c r="G90" s="14">
        <f t="shared" si="9"/>
        <v>0</v>
      </c>
    </row>
    <row r="91" spans="1:7" s="27" customFormat="1" ht="21" customHeight="1" outlineLevel="3" x14ac:dyDescent="0.2">
      <c r="A91" s="24" t="s">
        <v>27</v>
      </c>
      <c r="B91" s="25">
        <f>B92+B138+B199+B214+B237+B272+B276+B283+B320+B340+B351+B354+B373+B380+B399+B402+B421</f>
        <v>3873468355</v>
      </c>
      <c r="C91" s="25">
        <f>C92+C138+C199+C214+C237+C272+C276+C283+C320+C340+C351+C354+C373+C380+C399+C402+C421</f>
        <v>1084869267</v>
      </c>
      <c r="D91" s="25">
        <f>D92+D138+D199+D214+D237+D272+D276+D283+D320+D340+D351+D354+D373+D380+D399+D402+D421</f>
        <v>968232130.16999996</v>
      </c>
      <c r="E91" s="25">
        <f>E92+E138+E199+E214+E237+E272+E276+E283+E320+E340+E351+E354+E373+E380+E399+E402+E421</f>
        <v>939999189.41999996</v>
      </c>
      <c r="F91" s="26">
        <f t="shared" ref="F91" si="10">D91/C91</f>
        <v>0.89248738038958564</v>
      </c>
      <c r="G91" s="26">
        <f t="shared" ref="G91" si="11">D91/B91</f>
        <v>0.24996515820767559</v>
      </c>
    </row>
    <row r="92" spans="1:7" s="54" customFormat="1" ht="18.75" customHeight="1" outlineLevel="1" x14ac:dyDescent="0.25">
      <c r="A92" s="28" t="s">
        <v>65</v>
      </c>
      <c r="B92" s="22">
        <v>1211920903</v>
      </c>
      <c r="C92" s="22">
        <f>C93+C104+C114+C125</f>
        <v>306181658</v>
      </c>
      <c r="D92" s="22">
        <v>272202509.76999998</v>
      </c>
      <c r="E92" s="22">
        <v>272182235.88999999</v>
      </c>
      <c r="F92" s="23">
        <f>D92/C92</f>
        <v>0.88902291387422028</v>
      </c>
      <c r="G92" s="23">
        <f t="shared" ref="G92:G155" si="12">D92/B92</f>
        <v>0.22460418753087549</v>
      </c>
    </row>
    <row r="93" spans="1:7" s="78" customFormat="1" ht="26.25" customHeight="1" outlineLevel="2" x14ac:dyDescent="0.25">
      <c r="A93" s="8" t="s">
        <v>28</v>
      </c>
      <c r="B93" s="9">
        <v>11702620</v>
      </c>
      <c r="C93" s="9">
        <v>2763799</v>
      </c>
      <c r="D93" s="9">
        <v>2433210.65</v>
      </c>
      <c r="E93" s="9">
        <v>2433210.65</v>
      </c>
      <c r="F93" s="16">
        <f>D93/C93</f>
        <v>0.88038625457205821</v>
      </c>
      <c r="G93" s="16">
        <f t="shared" si="12"/>
        <v>0.20792016232262517</v>
      </c>
    </row>
    <row r="94" spans="1:7" ht="15.75" customHeight="1" outlineLevel="3" x14ac:dyDescent="0.25">
      <c r="A94" s="10" t="s">
        <v>9</v>
      </c>
      <c r="B94" s="11">
        <v>8373841</v>
      </c>
      <c r="C94" s="11">
        <v>1860000</v>
      </c>
      <c r="D94" s="11">
        <v>1843743.07</v>
      </c>
      <c r="E94" s="11">
        <v>1843743.07</v>
      </c>
      <c r="F94" s="14">
        <f>D94/C94</f>
        <v>0.99125971505376342</v>
      </c>
      <c r="G94" s="14">
        <f t="shared" si="12"/>
        <v>0.22017889639891658</v>
      </c>
    </row>
    <row r="95" spans="1:7" ht="15.75" customHeight="1" outlineLevel="3" x14ac:dyDescent="0.25">
      <c r="A95" s="10" t="s">
        <v>10</v>
      </c>
      <c r="B95" s="11">
        <v>1842245</v>
      </c>
      <c r="C95" s="11">
        <v>409200</v>
      </c>
      <c r="D95" s="11">
        <v>391131.7</v>
      </c>
      <c r="E95" s="11">
        <v>391131.7</v>
      </c>
      <c r="F95" s="14">
        <f>D95/C95</f>
        <v>0.95584481915933528</v>
      </c>
      <c r="G95" s="14">
        <f t="shared" si="12"/>
        <v>0.21231253172080805</v>
      </c>
    </row>
    <row r="96" spans="1:7" ht="15.75" customHeight="1" outlineLevel="3" x14ac:dyDescent="0.25">
      <c r="A96" s="10" t="s">
        <v>11</v>
      </c>
      <c r="B96" s="11">
        <v>101356</v>
      </c>
      <c r="C96" s="12"/>
      <c r="D96" s="12"/>
      <c r="E96" s="12"/>
      <c r="F96" s="14">
        <v>0</v>
      </c>
      <c r="G96" s="14">
        <f t="shared" si="12"/>
        <v>0</v>
      </c>
    </row>
    <row r="97" spans="1:7" ht="15.75" customHeight="1" outlineLevel="3" x14ac:dyDescent="0.25">
      <c r="A97" s="10" t="s">
        <v>29</v>
      </c>
      <c r="B97" s="11">
        <v>5217</v>
      </c>
      <c r="C97" s="12"/>
      <c r="D97" s="12"/>
      <c r="E97" s="12"/>
      <c r="F97" s="14">
        <v>0</v>
      </c>
      <c r="G97" s="14">
        <f t="shared" si="12"/>
        <v>0</v>
      </c>
    </row>
    <row r="98" spans="1:7" ht="15.75" customHeight="1" outlineLevel="3" x14ac:dyDescent="0.25">
      <c r="A98" s="10" t="s">
        <v>12</v>
      </c>
      <c r="B98" s="11">
        <v>280248</v>
      </c>
      <c r="C98" s="11">
        <v>75000</v>
      </c>
      <c r="D98" s="11">
        <v>12732</v>
      </c>
      <c r="E98" s="11">
        <v>12732</v>
      </c>
      <c r="F98" s="14">
        <f t="shared" ref="F98:F107" si="13">D98/C98</f>
        <v>0.16975999999999999</v>
      </c>
      <c r="G98" s="14">
        <f t="shared" si="12"/>
        <v>4.5431189517855616E-2</v>
      </c>
    </row>
    <row r="99" spans="1:7" ht="15.75" customHeight="1" outlineLevel="3" x14ac:dyDescent="0.25">
      <c r="A99" s="10" t="s">
        <v>13</v>
      </c>
      <c r="B99" s="11">
        <v>643020</v>
      </c>
      <c r="C99" s="11">
        <v>280000</v>
      </c>
      <c r="D99" s="11">
        <v>69993.53</v>
      </c>
      <c r="E99" s="11">
        <v>69993.53</v>
      </c>
      <c r="F99" s="14">
        <f t="shared" si="13"/>
        <v>0.24997689285714286</v>
      </c>
      <c r="G99" s="14">
        <f t="shared" si="12"/>
        <v>0.10885124879474978</v>
      </c>
    </row>
    <row r="100" spans="1:7" ht="15.75" customHeight="1" outlineLevel="3" x14ac:dyDescent="0.25">
      <c r="A100" s="10" t="s">
        <v>14</v>
      </c>
      <c r="B100" s="11">
        <v>45298</v>
      </c>
      <c r="C100" s="11">
        <v>12000</v>
      </c>
      <c r="D100" s="12"/>
      <c r="E100" s="12"/>
      <c r="F100" s="14">
        <f t="shared" si="13"/>
        <v>0</v>
      </c>
      <c r="G100" s="14">
        <f t="shared" si="12"/>
        <v>0</v>
      </c>
    </row>
    <row r="101" spans="1:7" ht="15.75" customHeight="1" outlineLevel="3" x14ac:dyDescent="0.25">
      <c r="A101" s="10" t="s">
        <v>15</v>
      </c>
      <c r="B101" s="11">
        <v>390000</v>
      </c>
      <c r="C101" s="11">
        <v>120000</v>
      </c>
      <c r="D101" s="11">
        <v>112517.35</v>
      </c>
      <c r="E101" s="11">
        <v>112517.35</v>
      </c>
      <c r="F101" s="14">
        <f t="shared" si="13"/>
        <v>0.93764458333333334</v>
      </c>
      <c r="G101" s="14">
        <f t="shared" si="12"/>
        <v>0.28850602564102568</v>
      </c>
    </row>
    <row r="102" spans="1:7" ht="15.75" customHeight="1" outlineLevel="3" x14ac:dyDescent="0.25">
      <c r="A102" s="10" t="s">
        <v>26</v>
      </c>
      <c r="B102" s="11">
        <v>18395</v>
      </c>
      <c r="C102" s="11">
        <v>4599</v>
      </c>
      <c r="D102" s="11">
        <v>3093</v>
      </c>
      <c r="E102" s="11">
        <v>3093</v>
      </c>
      <c r="F102" s="14">
        <f t="shared" si="13"/>
        <v>0.67253750815394653</v>
      </c>
      <c r="G102" s="14">
        <f t="shared" si="12"/>
        <v>0.16814351726012502</v>
      </c>
    </row>
    <row r="103" spans="1:7" ht="27.75" customHeight="1" outlineLevel="3" x14ac:dyDescent="0.25">
      <c r="A103" s="10" t="s">
        <v>16</v>
      </c>
      <c r="B103" s="11">
        <v>3000</v>
      </c>
      <c r="C103" s="11">
        <v>3000</v>
      </c>
      <c r="D103" s="12"/>
      <c r="E103" s="12"/>
      <c r="F103" s="14">
        <f t="shared" si="13"/>
        <v>0</v>
      </c>
      <c r="G103" s="14">
        <f t="shared" si="12"/>
        <v>0</v>
      </c>
    </row>
    <row r="104" spans="1:7" s="78" customFormat="1" ht="19.5" customHeight="1" outlineLevel="2" x14ac:dyDescent="0.25">
      <c r="A104" s="8" t="s">
        <v>30</v>
      </c>
      <c r="B104" s="9">
        <v>16484288</v>
      </c>
      <c r="C104" s="9">
        <v>4325874</v>
      </c>
      <c r="D104" s="9">
        <v>4884178.1500000004</v>
      </c>
      <c r="E104" s="9">
        <v>4884178.1500000004</v>
      </c>
      <c r="F104" s="16">
        <f t="shared" si="13"/>
        <v>1.1290615838556557</v>
      </c>
      <c r="G104" s="16">
        <f t="shared" si="12"/>
        <v>0.29629293967686082</v>
      </c>
    </row>
    <row r="105" spans="1:7" ht="18.75" customHeight="1" outlineLevel="3" x14ac:dyDescent="0.25">
      <c r="A105" s="10" t="s">
        <v>9</v>
      </c>
      <c r="B105" s="11">
        <v>11922401</v>
      </c>
      <c r="C105" s="11">
        <v>3080000</v>
      </c>
      <c r="D105" s="11">
        <v>3579747.95</v>
      </c>
      <c r="E105" s="11">
        <v>3579747.95</v>
      </c>
      <c r="F105" s="14">
        <f t="shared" si="13"/>
        <v>1.162255827922078</v>
      </c>
      <c r="G105" s="14">
        <f t="shared" si="12"/>
        <v>0.30025394633178337</v>
      </c>
    </row>
    <row r="106" spans="1:7" ht="18.75" customHeight="1" outlineLevel="3" x14ac:dyDescent="0.25">
      <c r="A106" s="10" t="s">
        <v>10</v>
      </c>
      <c r="B106" s="11">
        <v>2622928</v>
      </c>
      <c r="C106" s="11">
        <v>677600</v>
      </c>
      <c r="D106" s="11">
        <v>787600</v>
      </c>
      <c r="E106" s="11">
        <v>787600</v>
      </c>
      <c r="F106" s="14">
        <f t="shared" si="13"/>
        <v>1.1623376623376624</v>
      </c>
      <c r="G106" s="14">
        <f t="shared" si="12"/>
        <v>0.30027511239347782</v>
      </c>
    </row>
    <row r="107" spans="1:7" ht="18.75" customHeight="1" outlineLevel="3" x14ac:dyDescent="0.25">
      <c r="A107" s="10" t="s">
        <v>11</v>
      </c>
      <c r="B107" s="11">
        <v>25228</v>
      </c>
      <c r="C107" s="11">
        <v>25228</v>
      </c>
      <c r="D107" s="12"/>
      <c r="E107" s="12"/>
      <c r="F107" s="14">
        <f t="shared" si="13"/>
        <v>0</v>
      </c>
      <c r="G107" s="14">
        <f t="shared" si="12"/>
        <v>0</v>
      </c>
    </row>
    <row r="108" spans="1:7" ht="18.75" customHeight="1" outlineLevel="3" x14ac:dyDescent="0.25">
      <c r="A108" s="10" t="s">
        <v>29</v>
      </c>
      <c r="B108" s="11">
        <v>5228</v>
      </c>
      <c r="C108" s="12"/>
      <c r="D108" s="12"/>
      <c r="E108" s="12"/>
      <c r="F108" s="14">
        <v>0</v>
      </c>
      <c r="G108" s="14">
        <f t="shared" si="12"/>
        <v>0</v>
      </c>
    </row>
    <row r="109" spans="1:7" ht="18.75" customHeight="1" outlineLevel="3" x14ac:dyDescent="0.25">
      <c r="A109" s="10" t="s">
        <v>12</v>
      </c>
      <c r="B109" s="11">
        <v>400585</v>
      </c>
      <c r="C109" s="11">
        <v>29100</v>
      </c>
      <c r="D109" s="11">
        <v>6596</v>
      </c>
      <c r="E109" s="11">
        <v>6596</v>
      </c>
      <c r="F109" s="14">
        <f t="shared" ref="F109:F123" si="14">D109/C109</f>
        <v>0.22666666666666666</v>
      </c>
      <c r="G109" s="14">
        <f t="shared" si="12"/>
        <v>1.6465918594056193E-2</v>
      </c>
    </row>
    <row r="110" spans="1:7" ht="18.75" customHeight="1" outlineLevel="3" x14ac:dyDescent="0.25">
      <c r="A110" s="10" t="s">
        <v>13</v>
      </c>
      <c r="B110" s="11">
        <v>682100</v>
      </c>
      <c r="C110" s="11">
        <v>272943</v>
      </c>
      <c r="D110" s="11">
        <v>272138.26</v>
      </c>
      <c r="E110" s="11">
        <v>272138.26</v>
      </c>
      <c r="F110" s="14">
        <f t="shared" si="14"/>
        <v>0.99705161883616733</v>
      </c>
      <c r="G110" s="14">
        <f t="shared" si="12"/>
        <v>0.39897120656795193</v>
      </c>
    </row>
    <row r="111" spans="1:7" ht="18.75" customHeight="1" outlineLevel="3" x14ac:dyDescent="0.25">
      <c r="A111" s="10" t="s">
        <v>14</v>
      </c>
      <c r="B111" s="11">
        <v>159318</v>
      </c>
      <c r="C111" s="11">
        <v>35603</v>
      </c>
      <c r="D111" s="11">
        <v>32799.1</v>
      </c>
      <c r="E111" s="11">
        <v>32799.1</v>
      </c>
      <c r="F111" s="14">
        <f t="shared" si="14"/>
        <v>0.92124540066848293</v>
      </c>
      <c r="G111" s="14">
        <f t="shared" si="12"/>
        <v>0.20587190399076061</v>
      </c>
    </row>
    <row r="112" spans="1:7" ht="18.75" customHeight="1" outlineLevel="3" x14ac:dyDescent="0.25">
      <c r="A112" s="10" t="s">
        <v>15</v>
      </c>
      <c r="B112" s="11">
        <v>642500</v>
      </c>
      <c r="C112" s="11">
        <v>199400</v>
      </c>
      <c r="D112" s="11">
        <v>199321.58</v>
      </c>
      <c r="E112" s="11">
        <v>199321.58</v>
      </c>
      <c r="F112" s="14">
        <f t="shared" si="14"/>
        <v>0.99960672016048135</v>
      </c>
      <c r="G112" s="14">
        <f t="shared" si="12"/>
        <v>0.31022814007782101</v>
      </c>
    </row>
    <row r="113" spans="1:7" ht="25.5" customHeight="1" outlineLevel="3" x14ac:dyDescent="0.25">
      <c r="A113" s="10" t="s">
        <v>26</v>
      </c>
      <c r="B113" s="11">
        <v>24000</v>
      </c>
      <c r="C113" s="11">
        <v>6000</v>
      </c>
      <c r="D113" s="11">
        <v>5975.26</v>
      </c>
      <c r="E113" s="11">
        <v>5975.26</v>
      </c>
      <c r="F113" s="14">
        <f t="shared" si="14"/>
        <v>0.99587666666666674</v>
      </c>
      <c r="G113" s="14">
        <f t="shared" si="12"/>
        <v>0.24896916666666669</v>
      </c>
    </row>
    <row r="114" spans="1:7" s="78" customFormat="1" ht="18" customHeight="1" outlineLevel="2" x14ac:dyDescent="0.25">
      <c r="A114" s="8" t="s">
        <v>31</v>
      </c>
      <c r="B114" s="9">
        <v>12987548</v>
      </c>
      <c r="C114" s="9">
        <v>3714665</v>
      </c>
      <c r="D114" s="9">
        <v>3000576.26</v>
      </c>
      <c r="E114" s="9">
        <v>2980326.38</v>
      </c>
      <c r="F114" s="16">
        <f t="shared" si="14"/>
        <v>0.80776496938485698</v>
      </c>
      <c r="G114" s="16">
        <f t="shared" si="12"/>
        <v>0.23103485430814191</v>
      </c>
    </row>
    <row r="115" spans="1:7" ht="18" customHeight="1" outlineLevel="3" x14ac:dyDescent="0.25">
      <c r="A115" s="10" t="s">
        <v>9</v>
      </c>
      <c r="B115" s="11">
        <v>7977155</v>
      </c>
      <c r="C115" s="11">
        <v>1861800</v>
      </c>
      <c r="D115" s="11">
        <v>1795001.45</v>
      </c>
      <c r="E115" s="11">
        <v>1795001.45</v>
      </c>
      <c r="F115" s="14">
        <f t="shared" si="14"/>
        <v>0.96412152218283376</v>
      </c>
      <c r="G115" s="14">
        <f t="shared" si="12"/>
        <v>0.22501774755536277</v>
      </c>
    </row>
    <row r="116" spans="1:7" ht="18" customHeight="1" outlineLevel="3" x14ac:dyDescent="0.25">
      <c r="A116" s="10" t="s">
        <v>10</v>
      </c>
      <c r="B116" s="11">
        <v>1754973</v>
      </c>
      <c r="C116" s="11">
        <v>409500</v>
      </c>
      <c r="D116" s="11">
        <v>404211.6</v>
      </c>
      <c r="E116" s="11">
        <v>404211.6</v>
      </c>
      <c r="F116" s="14">
        <f t="shared" si="14"/>
        <v>0.98708571428571423</v>
      </c>
      <c r="G116" s="14">
        <f t="shared" si="12"/>
        <v>0.23032354343912981</v>
      </c>
    </row>
    <row r="117" spans="1:7" ht="18" customHeight="1" outlineLevel="3" x14ac:dyDescent="0.25">
      <c r="A117" s="10" t="s">
        <v>11</v>
      </c>
      <c r="B117" s="11">
        <v>150000</v>
      </c>
      <c r="C117" s="11">
        <v>150000</v>
      </c>
      <c r="D117" s="11">
        <v>149999.47</v>
      </c>
      <c r="E117" s="11">
        <v>133649.59</v>
      </c>
      <c r="F117" s="14">
        <f t="shared" si="14"/>
        <v>0.99999646666666664</v>
      </c>
      <c r="G117" s="14">
        <f t="shared" si="12"/>
        <v>0.99999646666666664</v>
      </c>
    </row>
    <row r="118" spans="1:7" ht="18" customHeight="1" outlineLevel="3" x14ac:dyDescent="0.25">
      <c r="A118" s="10" t="s">
        <v>34</v>
      </c>
      <c r="B118" s="11">
        <v>449065</v>
      </c>
      <c r="C118" s="11">
        <v>122000</v>
      </c>
      <c r="D118" s="11">
        <v>61806.7</v>
      </c>
      <c r="E118" s="11">
        <v>61806.7</v>
      </c>
      <c r="F118" s="14">
        <f t="shared" si="14"/>
        <v>0.50661229508196715</v>
      </c>
      <c r="G118" s="14">
        <f t="shared" si="12"/>
        <v>0.13763419549508421</v>
      </c>
    </row>
    <row r="119" spans="1:7" ht="18" customHeight="1" outlineLevel="3" x14ac:dyDescent="0.25">
      <c r="A119" s="10" t="s">
        <v>12</v>
      </c>
      <c r="B119" s="11">
        <v>180000</v>
      </c>
      <c r="C119" s="11">
        <v>50000</v>
      </c>
      <c r="D119" s="11">
        <v>43941.33</v>
      </c>
      <c r="E119" s="11">
        <v>40041.33</v>
      </c>
      <c r="F119" s="14">
        <f t="shared" si="14"/>
        <v>0.87882660000000001</v>
      </c>
      <c r="G119" s="14">
        <f t="shared" si="12"/>
        <v>0.24411850000000002</v>
      </c>
    </row>
    <row r="120" spans="1:7" ht="18" customHeight="1" outlineLevel="3" x14ac:dyDescent="0.25">
      <c r="A120" s="10" t="s">
        <v>13</v>
      </c>
      <c r="B120" s="11">
        <v>1716615</v>
      </c>
      <c r="C120" s="11">
        <v>868939</v>
      </c>
      <c r="D120" s="11">
        <v>327907.90999999997</v>
      </c>
      <c r="E120" s="11">
        <v>327907.90999999997</v>
      </c>
      <c r="F120" s="14">
        <f t="shared" si="14"/>
        <v>0.37736585652157401</v>
      </c>
      <c r="G120" s="14">
        <f t="shared" si="12"/>
        <v>0.19102006565246138</v>
      </c>
    </row>
    <row r="121" spans="1:7" ht="18" customHeight="1" outlineLevel="3" x14ac:dyDescent="0.25">
      <c r="A121" s="10" t="s">
        <v>14</v>
      </c>
      <c r="B121" s="11">
        <v>106988</v>
      </c>
      <c r="C121" s="11">
        <v>25749</v>
      </c>
      <c r="D121" s="11">
        <v>18379.66</v>
      </c>
      <c r="E121" s="11">
        <v>18379.66</v>
      </c>
      <c r="F121" s="14">
        <f t="shared" si="14"/>
        <v>0.71380092430774011</v>
      </c>
      <c r="G121" s="14">
        <f t="shared" si="12"/>
        <v>0.17179178973342804</v>
      </c>
    </row>
    <row r="122" spans="1:7" ht="18" customHeight="1" outlineLevel="3" x14ac:dyDescent="0.25">
      <c r="A122" s="10" t="s">
        <v>15</v>
      </c>
      <c r="B122" s="11">
        <v>620000</v>
      </c>
      <c r="C122" s="11">
        <v>219000</v>
      </c>
      <c r="D122" s="11">
        <v>192368.83</v>
      </c>
      <c r="E122" s="11">
        <v>192368.83</v>
      </c>
      <c r="F122" s="14">
        <f t="shared" si="14"/>
        <v>0.87839648401826476</v>
      </c>
      <c r="G122" s="14">
        <f t="shared" si="12"/>
        <v>0.31027230645161286</v>
      </c>
    </row>
    <row r="123" spans="1:7" ht="24" customHeight="1" outlineLevel="3" x14ac:dyDescent="0.25">
      <c r="A123" s="10" t="s">
        <v>26</v>
      </c>
      <c r="B123" s="11">
        <v>30752</v>
      </c>
      <c r="C123" s="11">
        <v>7677</v>
      </c>
      <c r="D123" s="11">
        <v>6959.31</v>
      </c>
      <c r="E123" s="11">
        <v>6959.31</v>
      </c>
      <c r="F123" s="14">
        <f t="shared" si="14"/>
        <v>0.90651426338413443</v>
      </c>
      <c r="G123" s="14">
        <f t="shared" si="12"/>
        <v>0.22630430541103019</v>
      </c>
    </row>
    <row r="124" spans="1:7" ht="27.75" customHeight="1" outlineLevel="3" x14ac:dyDescent="0.25">
      <c r="A124" s="10" t="s">
        <v>16</v>
      </c>
      <c r="B124" s="11">
        <v>2000</v>
      </c>
      <c r="C124" s="12"/>
      <c r="D124" s="12"/>
      <c r="E124" s="12"/>
      <c r="F124" s="14">
        <v>0</v>
      </c>
      <c r="G124" s="14">
        <f t="shared" si="12"/>
        <v>0</v>
      </c>
    </row>
    <row r="125" spans="1:7" s="78" customFormat="1" ht="25.5" customHeight="1" outlineLevel="2" x14ac:dyDescent="0.25">
      <c r="A125" s="8" t="s">
        <v>23</v>
      </c>
      <c r="B125" s="9">
        <v>1170746447</v>
      </c>
      <c r="C125" s="9">
        <f>306181658-C114-C104-C93</f>
        <v>295377320</v>
      </c>
      <c r="D125" s="9">
        <v>261884544.71000001</v>
      </c>
      <c r="E125" s="9">
        <v>261884520.71000001</v>
      </c>
      <c r="F125" s="16">
        <f>D125/C125</f>
        <v>0.886610199828477</v>
      </c>
      <c r="G125" s="16">
        <f t="shared" si="12"/>
        <v>0.22369023231381202</v>
      </c>
    </row>
    <row r="126" spans="1:7" ht="17.25" customHeight="1" outlineLevel="3" x14ac:dyDescent="0.25">
      <c r="A126" s="10" t="s">
        <v>9</v>
      </c>
      <c r="B126" s="11">
        <v>792488100</v>
      </c>
      <c r="C126" s="11">
        <f>189465285-C115-C105-C94</f>
        <v>182663485</v>
      </c>
      <c r="D126" s="11">
        <v>181091128.38999999</v>
      </c>
      <c r="E126" s="11">
        <v>181091128.38999999</v>
      </c>
      <c r="F126" s="14">
        <f>D126/C126</f>
        <v>0.99139205840729461</v>
      </c>
      <c r="G126" s="14">
        <f t="shared" si="12"/>
        <v>0.2285095869452172</v>
      </c>
    </row>
    <row r="127" spans="1:7" ht="17.25" customHeight="1" outlineLevel="3" x14ac:dyDescent="0.25">
      <c r="A127" s="10" t="s">
        <v>10</v>
      </c>
      <c r="B127" s="11">
        <v>174347388</v>
      </c>
      <c r="C127" s="11">
        <f>41682363-C116-C106-C95</f>
        <v>40186063</v>
      </c>
      <c r="D127" s="11">
        <v>39652120.18</v>
      </c>
      <c r="E127" s="11">
        <v>39652120.18</v>
      </c>
      <c r="F127" s="14">
        <f>D127/C127</f>
        <v>0.98671323388907239</v>
      </c>
      <c r="G127" s="14">
        <f t="shared" si="12"/>
        <v>0.22743168472360481</v>
      </c>
    </row>
    <row r="128" spans="1:7" ht="17.25" customHeight="1" outlineLevel="3" x14ac:dyDescent="0.25">
      <c r="A128" s="10" t="s">
        <v>11</v>
      </c>
      <c r="B128" s="11">
        <v>9723672</v>
      </c>
      <c r="C128" s="11">
        <f>1000256-C117-C107-C96</f>
        <v>825028</v>
      </c>
      <c r="D128" s="11">
        <v>824995.7</v>
      </c>
      <c r="E128" s="11">
        <v>824971.7</v>
      </c>
      <c r="F128" s="14">
        <f>D128/C128</f>
        <v>0.99996084981358202</v>
      </c>
      <c r="G128" s="14">
        <f t="shared" si="12"/>
        <v>8.4844048626897317E-2</v>
      </c>
    </row>
    <row r="129" spans="1:7" ht="17.25" customHeight="1" outlineLevel="3" x14ac:dyDescent="0.25">
      <c r="A129" s="10" t="s">
        <v>29</v>
      </c>
      <c r="B129" s="11">
        <v>493221</v>
      </c>
      <c r="C129" s="12"/>
      <c r="D129" s="12"/>
      <c r="E129" s="12"/>
      <c r="F129" s="14">
        <v>0</v>
      </c>
      <c r="G129" s="14">
        <f t="shared" si="12"/>
        <v>0</v>
      </c>
    </row>
    <row r="130" spans="1:7" ht="17.25" customHeight="1" outlineLevel="3" x14ac:dyDescent="0.25">
      <c r="A130" s="10" t="s">
        <v>12</v>
      </c>
      <c r="B130" s="11">
        <v>86653407</v>
      </c>
      <c r="C130" s="11">
        <f>19931040-C119-C109-C98</f>
        <v>19776940</v>
      </c>
      <c r="D130" s="11">
        <v>9365297.3800000008</v>
      </c>
      <c r="E130" s="11">
        <v>9365297.3800000008</v>
      </c>
      <c r="F130" s="14">
        <f t="shared" ref="F130:F135" si="15">D130/C130</f>
        <v>0.47354633123223316</v>
      </c>
      <c r="G130" s="14">
        <f t="shared" si="12"/>
        <v>0.10807765908154079</v>
      </c>
    </row>
    <row r="131" spans="1:7" ht="17.25" customHeight="1" outlineLevel="3" x14ac:dyDescent="0.25">
      <c r="A131" s="10" t="s">
        <v>13</v>
      </c>
      <c r="B131" s="11">
        <v>67195412</v>
      </c>
      <c r="C131" s="11">
        <f>42266039-C120-C110-C99</f>
        <v>40844157</v>
      </c>
      <c r="D131" s="11">
        <v>21260656.850000001</v>
      </c>
      <c r="E131" s="11">
        <v>21260656.850000001</v>
      </c>
      <c r="F131" s="14">
        <f t="shared" si="15"/>
        <v>0.52053117046827535</v>
      </c>
      <c r="G131" s="14">
        <f t="shared" si="12"/>
        <v>0.31640042403490287</v>
      </c>
    </row>
    <row r="132" spans="1:7" ht="17.25" customHeight="1" outlineLevel="3" x14ac:dyDescent="0.25">
      <c r="A132" s="10" t="s">
        <v>14</v>
      </c>
      <c r="B132" s="11">
        <v>8230793</v>
      </c>
      <c r="C132" s="11">
        <f>2196608-C121-C111-C100</f>
        <v>2123256</v>
      </c>
      <c r="D132" s="11">
        <v>2009108.5</v>
      </c>
      <c r="E132" s="11">
        <v>2009108.5</v>
      </c>
      <c r="F132" s="14">
        <f t="shared" si="15"/>
        <v>0.94623940777748894</v>
      </c>
      <c r="G132" s="14">
        <f t="shared" si="12"/>
        <v>0.24409658947807339</v>
      </c>
    </row>
    <row r="133" spans="1:7" ht="17.25" customHeight="1" outlineLevel="3" x14ac:dyDescent="0.25">
      <c r="A133" s="10" t="s">
        <v>15</v>
      </c>
      <c r="B133" s="11">
        <v>27175646</v>
      </c>
      <c r="C133" s="11">
        <f>8865240-C122-C112-C101</f>
        <v>8326840</v>
      </c>
      <c r="D133" s="11">
        <v>7456968.6500000004</v>
      </c>
      <c r="E133" s="11">
        <v>7456968.6500000004</v>
      </c>
      <c r="F133" s="14">
        <f t="shared" si="15"/>
        <v>0.89553403812250509</v>
      </c>
      <c r="G133" s="14">
        <f t="shared" si="12"/>
        <v>0.27439894713082441</v>
      </c>
    </row>
    <row r="134" spans="1:7" ht="17.25" customHeight="1" outlineLevel="3" x14ac:dyDescent="0.25">
      <c r="A134" s="10" t="s">
        <v>32</v>
      </c>
      <c r="B134" s="11">
        <v>306700</v>
      </c>
      <c r="C134" s="11">
        <f>85067</f>
        <v>85067</v>
      </c>
      <c r="D134" s="13">
        <v>858</v>
      </c>
      <c r="E134" s="13">
        <v>858</v>
      </c>
      <c r="F134" s="14">
        <f t="shared" si="15"/>
        <v>1.0086167373952296E-2</v>
      </c>
      <c r="G134" s="14">
        <f t="shared" si="12"/>
        <v>2.7975220084773393E-3</v>
      </c>
    </row>
    <row r="135" spans="1:7" ht="25.5" customHeight="1" outlineLevel="3" x14ac:dyDescent="0.25">
      <c r="A135" s="10" t="s">
        <v>26</v>
      </c>
      <c r="B135" s="11">
        <v>1496108</v>
      </c>
      <c r="C135" s="11">
        <f>564760-C123-C113-C102</f>
        <v>546484</v>
      </c>
      <c r="D135" s="11">
        <v>223411.06</v>
      </c>
      <c r="E135" s="11">
        <v>223411.06</v>
      </c>
      <c r="F135" s="14">
        <f t="shared" si="15"/>
        <v>0.40881537245372235</v>
      </c>
      <c r="G135" s="14">
        <f t="shared" si="12"/>
        <v>0.14932816347482936</v>
      </c>
    </row>
    <row r="136" spans="1:7" ht="27" customHeight="1" outlineLevel="3" x14ac:dyDescent="0.25">
      <c r="A136" s="10" t="s">
        <v>16</v>
      </c>
      <c r="B136" s="11">
        <v>236000</v>
      </c>
      <c r="C136" s="12"/>
      <c r="D136" s="12"/>
      <c r="E136" s="12"/>
      <c r="F136" s="14">
        <v>0</v>
      </c>
      <c r="G136" s="14">
        <f t="shared" si="12"/>
        <v>0</v>
      </c>
    </row>
    <row r="137" spans="1:7" ht="28.5" customHeight="1" outlineLevel="3" x14ac:dyDescent="0.25">
      <c r="A137" s="10" t="s">
        <v>56</v>
      </c>
      <c r="B137" s="11">
        <v>2400000</v>
      </c>
      <c r="C137" s="12"/>
      <c r="D137" s="12"/>
      <c r="E137" s="12"/>
      <c r="F137" s="14">
        <v>0</v>
      </c>
      <c r="G137" s="14">
        <f t="shared" si="12"/>
        <v>0</v>
      </c>
    </row>
    <row r="138" spans="1:7" s="54" customFormat="1" ht="26.25" customHeight="1" outlineLevel="1" x14ac:dyDescent="0.25">
      <c r="A138" s="28" t="s">
        <v>66</v>
      </c>
      <c r="B138" s="22">
        <v>1297769726</v>
      </c>
      <c r="C138" s="22">
        <f>C139+C150+C162+C174+C186</f>
        <v>341691454</v>
      </c>
      <c r="D138" s="22">
        <v>283380244.39999998</v>
      </c>
      <c r="E138" s="22">
        <v>283020325.49000001</v>
      </c>
      <c r="F138" s="23">
        <f>D138/C138</f>
        <v>0.82934542577116954</v>
      </c>
      <c r="G138" s="23">
        <f t="shared" si="12"/>
        <v>0.21835941979740708</v>
      </c>
    </row>
    <row r="139" spans="1:7" s="78" customFormat="1" ht="25.5" customHeight="1" outlineLevel="2" x14ac:dyDescent="0.25">
      <c r="A139" s="8" t="s">
        <v>28</v>
      </c>
      <c r="B139" s="9">
        <v>44547010</v>
      </c>
      <c r="C139" s="9">
        <v>11679840</v>
      </c>
      <c r="D139" s="9">
        <v>10483406.58</v>
      </c>
      <c r="E139" s="9">
        <v>10474149.18</v>
      </c>
      <c r="F139" s="16">
        <f>D139/C139</f>
        <v>0.89756422861957019</v>
      </c>
      <c r="G139" s="16">
        <f t="shared" si="12"/>
        <v>0.2353335629035484</v>
      </c>
    </row>
    <row r="140" spans="1:7" ht="17.25" customHeight="1" outlineLevel="3" x14ac:dyDescent="0.25">
      <c r="A140" s="10" t="s">
        <v>9</v>
      </c>
      <c r="B140" s="11">
        <v>30642200</v>
      </c>
      <c r="C140" s="11">
        <v>7500000</v>
      </c>
      <c r="D140" s="11">
        <v>7374768.6600000001</v>
      </c>
      <c r="E140" s="11">
        <v>7374768.6600000001</v>
      </c>
      <c r="F140" s="14">
        <f>D140/C140</f>
        <v>0.98330248799999997</v>
      </c>
      <c r="G140" s="14">
        <f t="shared" si="12"/>
        <v>0.24067360241758098</v>
      </c>
    </row>
    <row r="141" spans="1:7" ht="17.25" customHeight="1" outlineLevel="3" x14ac:dyDescent="0.25">
      <c r="A141" s="10" t="s">
        <v>10</v>
      </c>
      <c r="B141" s="11">
        <v>6741284</v>
      </c>
      <c r="C141" s="11">
        <v>1650000</v>
      </c>
      <c r="D141" s="11">
        <v>1493468.69</v>
      </c>
      <c r="E141" s="11">
        <v>1493468.69</v>
      </c>
      <c r="F141" s="14">
        <f>D141/C141</f>
        <v>0.90513253939393934</v>
      </c>
      <c r="G141" s="14">
        <f t="shared" si="12"/>
        <v>0.22154068720439607</v>
      </c>
    </row>
    <row r="142" spans="1:7" ht="17.25" customHeight="1" outlineLevel="3" x14ac:dyDescent="0.25">
      <c r="A142" s="10" t="s">
        <v>11</v>
      </c>
      <c r="B142" s="11">
        <v>700000</v>
      </c>
      <c r="C142" s="11">
        <v>300000</v>
      </c>
      <c r="D142" s="11">
        <v>88912.56</v>
      </c>
      <c r="E142" s="11">
        <v>88912.56</v>
      </c>
      <c r="F142" s="14">
        <f>D142/C142</f>
        <v>0.29637520000000001</v>
      </c>
      <c r="G142" s="14">
        <f t="shared" si="12"/>
        <v>0.12701794285714285</v>
      </c>
    </row>
    <row r="143" spans="1:7" ht="17.25" customHeight="1" outlineLevel="3" x14ac:dyDescent="0.25">
      <c r="A143" s="10" t="s">
        <v>29</v>
      </c>
      <c r="B143" s="11">
        <v>33000</v>
      </c>
      <c r="C143" s="12"/>
      <c r="D143" s="12"/>
      <c r="E143" s="12"/>
      <c r="F143" s="14">
        <v>0</v>
      </c>
      <c r="G143" s="14">
        <f t="shared" si="12"/>
        <v>0</v>
      </c>
    </row>
    <row r="144" spans="1:7" ht="17.25" customHeight="1" outlineLevel="3" x14ac:dyDescent="0.25">
      <c r="A144" s="10" t="s">
        <v>12</v>
      </c>
      <c r="B144" s="11">
        <v>2200000</v>
      </c>
      <c r="C144" s="11">
        <v>400000</v>
      </c>
      <c r="D144" s="11">
        <v>59493.89</v>
      </c>
      <c r="E144" s="11">
        <v>50236.49</v>
      </c>
      <c r="F144" s="14">
        <f t="shared" ref="F144:F153" si="16">D144/C144</f>
        <v>0.14873472500000001</v>
      </c>
      <c r="G144" s="14">
        <f t="shared" si="12"/>
        <v>2.7042677272727272E-2</v>
      </c>
    </row>
    <row r="145" spans="1:7" ht="17.25" customHeight="1" outlineLevel="3" x14ac:dyDescent="0.25">
      <c r="A145" s="10" t="s">
        <v>13</v>
      </c>
      <c r="B145" s="11">
        <v>2200000</v>
      </c>
      <c r="C145" s="11">
        <v>1390000</v>
      </c>
      <c r="D145" s="11">
        <v>1249339.6100000001</v>
      </c>
      <c r="E145" s="11">
        <v>1249339.6100000001</v>
      </c>
      <c r="F145" s="14">
        <f t="shared" si="16"/>
        <v>0.89880547482014395</v>
      </c>
      <c r="G145" s="14">
        <f t="shared" si="12"/>
        <v>0.56788164090909099</v>
      </c>
    </row>
    <row r="146" spans="1:7" ht="17.25" customHeight="1" outlineLevel="3" x14ac:dyDescent="0.25">
      <c r="A146" s="10" t="s">
        <v>14</v>
      </c>
      <c r="B146" s="11">
        <v>130650</v>
      </c>
      <c r="C146" s="11">
        <v>36000</v>
      </c>
      <c r="D146" s="12"/>
      <c r="E146" s="12"/>
      <c r="F146" s="14">
        <f t="shared" si="16"/>
        <v>0</v>
      </c>
      <c r="G146" s="14">
        <f t="shared" si="12"/>
        <v>0</v>
      </c>
    </row>
    <row r="147" spans="1:7" ht="17.25" customHeight="1" outlineLevel="3" x14ac:dyDescent="0.25">
      <c r="A147" s="10" t="s">
        <v>15</v>
      </c>
      <c r="B147" s="11">
        <v>1874440</v>
      </c>
      <c r="C147" s="11">
        <v>393340</v>
      </c>
      <c r="D147" s="11">
        <v>211348.58</v>
      </c>
      <c r="E147" s="11">
        <v>211348.58</v>
      </c>
      <c r="F147" s="14">
        <f t="shared" si="16"/>
        <v>0.53731779122387757</v>
      </c>
      <c r="G147" s="14">
        <f t="shared" si="12"/>
        <v>0.11275291820490385</v>
      </c>
    </row>
    <row r="148" spans="1:7" ht="24.75" customHeight="1" outlineLevel="3" x14ac:dyDescent="0.25">
      <c r="A148" s="10" t="s">
        <v>26</v>
      </c>
      <c r="B148" s="11">
        <v>22436</v>
      </c>
      <c r="C148" s="11">
        <v>7500</v>
      </c>
      <c r="D148" s="11">
        <v>6074.59</v>
      </c>
      <c r="E148" s="11">
        <v>6074.59</v>
      </c>
      <c r="F148" s="14">
        <f t="shared" si="16"/>
        <v>0.80994533333333341</v>
      </c>
      <c r="G148" s="14">
        <f t="shared" si="12"/>
        <v>0.27075191656266717</v>
      </c>
    </row>
    <row r="149" spans="1:7" ht="29.25" customHeight="1" outlineLevel="3" x14ac:dyDescent="0.25">
      <c r="A149" s="10" t="s">
        <v>16</v>
      </c>
      <c r="B149" s="11">
        <v>3000</v>
      </c>
      <c r="C149" s="11">
        <v>3000</v>
      </c>
      <c r="D149" s="12"/>
      <c r="E149" s="12"/>
      <c r="F149" s="14">
        <f t="shared" si="16"/>
        <v>0</v>
      </c>
      <c r="G149" s="14">
        <f t="shared" si="12"/>
        <v>0</v>
      </c>
    </row>
    <row r="150" spans="1:7" s="78" customFormat="1" ht="17.25" customHeight="1" outlineLevel="2" x14ac:dyDescent="0.25">
      <c r="A150" s="8" t="s">
        <v>33</v>
      </c>
      <c r="B150" s="9">
        <v>58818452</v>
      </c>
      <c r="C150" s="9">
        <v>14588573</v>
      </c>
      <c r="D150" s="9">
        <v>13194556.609999999</v>
      </c>
      <c r="E150" s="9">
        <v>13194556.609999999</v>
      </c>
      <c r="F150" s="16">
        <f t="shared" si="16"/>
        <v>0.90444463690862698</v>
      </c>
      <c r="G150" s="16">
        <f t="shared" si="12"/>
        <v>0.22432682536425813</v>
      </c>
    </row>
    <row r="151" spans="1:7" ht="18" customHeight="1" outlineLevel="3" x14ac:dyDescent="0.25">
      <c r="A151" s="10" t="s">
        <v>9</v>
      </c>
      <c r="B151" s="11">
        <v>38915400</v>
      </c>
      <c r="C151" s="11">
        <v>9450000</v>
      </c>
      <c r="D151" s="11">
        <v>9449498.0700000003</v>
      </c>
      <c r="E151" s="11">
        <v>9449498.0700000003</v>
      </c>
      <c r="F151" s="14">
        <f t="shared" si="16"/>
        <v>0.99994688571428569</v>
      </c>
      <c r="G151" s="14">
        <f t="shared" si="12"/>
        <v>0.24282155830339661</v>
      </c>
    </row>
    <row r="152" spans="1:7" ht="18" customHeight="1" outlineLevel="3" x14ac:dyDescent="0.25">
      <c r="A152" s="10" t="s">
        <v>10</v>
      </c>
      <c r="B152" s="11">
        <v>8561388</v>
      </c>
      <c r="C152" s="11">
        <v>2079000</v>
      </c>
      <c r="D152" s="11">
        <v>2068139.56</v>
      </c>
      <c r="E152" s="11">
        <v>2068139.56</v>
      </c>
      <c r="F152" s="14">
        <f t="shared" si="16"/>
        <v>0.99477612313612318</v>
      </c>
      <c r="G152" s="14">
        <f t="shared" si="12"/>
        <v>0.24156591898416471</v>
      </c>
    </row>
    <row r="153" spans="1:7" ht="18" customHeight="1" outlineLevel="3" x14ac:dyDescent="0.25">
      <c r="A153" s="10" t="s">
        <v>11</v>
      </c>
      <c r="B153" s="11">
        <v>1300000</v>
      </c>
      <c r="C153" s="11">
        <v>295000</v>
      </c>
      <c r="D153" s="11">
        <v>2600</v>
      </c>
      <c r="E153" s="11">
        <v>2600</v>
      </c>
      <c r="F153" s="14">
        <f t="shared" si="16"/>
        <v>8.8135593220338981E-3</v>
      </c>
      <c r="G153" s="14">
        <f t="shared" si="12"/>
        <v>2E-3</v>
      </c>
    </row>
    <row r="154" spans="1:7" ht="18" customHeight="1" outlineLevel="3" x14ac:dyDescent="0.25">
      <c r="A154" s="10" t="s">
        <v>29</v>
      </c>
      <c r="B154" s="11">
        <v>43700</v>
      </c>
      <c r="C154" s="12"/>
      <c r="D154" s="12"/>
      <c r="E154" s="12"/>
      <c r="F154" s="14">
        <v>0</v>
      </c>
      <c r="G154" s="14">
        <f t="shared" si="12"/>
        <v>0</v>
      </c>
    </row>
    <row r="155" spans="1:7" ht="18" customHeight="1" outlineLevel="3" x14ac:dyDescent="0.25">
      <c r="A155" s="10" t="s">
        <v>34</v>
      </c>
      <c r="B155" s="11">
        <v>953450</v>
      </c>
      <c r="C155" s="11">
        <v>491450</v>
      </c>
      <c r="D155" s="11">
        <v>159025</v>
      </c>
      <c r="E155" s="11">
        <v>159025</v>
      </c>
      <c r="F155" s="14">
        <f t="shared" ref="F155:F165" si="17">D155/C155</f>
        <v>0.32358327398514597</v>
      </c>
      <c r="G155" s="14">
        <f t="shared" si="12"/>
        <v>0.16678902931459436</v>
      </c>
    </row>
    <row r="156" spans="1:7" ht="18" customHeight="1" outlineLevel="3" x14ac:dyDescent="0.25">
      <c r="A156" s="10" t="s">
        <v>12</v>
      </c>
      <c r="B156" s="11">
        <v>3800000</v>
      </c>
      <c r="C156" s="11">
        <v>460950</v>
      </c>
      <c r="D156" s="11">
        <v>117573.78</v>
      </c>
      <c r="E156" s="11">
        <v>117573.78</v>
      </c>
      <c r="F156" s="14">
        <f t="shared" si="17"/>
        <v>0.25506840221282134</v>
      </c>
      <c r="G156" s="14">
        <f t="shared" ref="G156:G219" si="18">D156/B156</f>
        <v>3.0940468421052632E-2</v>
      </c>
    </row>
    <row r="157" spans="1:7" ht="18" customHeight="1" outlineLevel="3" x14ac:dyDescent="0.25">
      <c r="A157" s="10" t="s">
        <v>13</v>
      </c>
      <c r="B157" s="11">
        <v>1909463</v>
      </c>
      <c r="C157" s="11">
        <v>858186</v>
      </c>
      <c r="D157" s="11">
        <v>597361.91</v>
      </c>
      <c r="E157" s="11">
        <v>597361.91</v>
      </c>
      <c r="F157" s="14">
        <f t="shared" si="17"/>
        <v>0.69607510493063274</v>
      </c>
      <c r="G157" s="14">
        <f t="shared" si="18"/>
        <v>0.31284288305141289</v>
      </c>
    </row>
    <row r="158" spans="1:7" ht="18" customHeight="1" outlineLevel="3" x14ac:dyDescent="0.25">
      <c r="A158" s="10" t="s">
        <v>14</v>
      </c>
      <c r="B158" s="11">
        <v>413313</v>
      </c>
      <c r="C158" s="11">
        <v>138477</v>
      </c>
      <c r="D158" s="11">
        <v>117969.46</v>
      </c>
      <c r="E158" s="11">
        <v>117969.46</v>
      </c>
      <c r="F158" s="14">
        <f t="shared" si="17"/>
        <v>0.85190652599348637</v>
      </c>
      <c r="G158" s="14">
        <f t="shared" si="18"/>
        <v>0.28542402489154711</v>
      </c>
    </row>
    <row r="159" spans="1:7" ht="18" customHeight="1" outlineLevel="3" x14ac:dyDescent="0.25">
      <c r="A159" s="10" t="s">
        <v>15</v>
      </c>
      <c r="B159" s="11">
        <v>2873700</v>
      </c>
      <c r="C159" s="11">
        <v>800000</v>
      </c>
      <c r="D159" s="11">
        <v>675460.05</v>
      </c>
      <c r="E159" s="11">
        <v>675460.05</v>
      </c>
      <c r="F159" s="14">
        <f t="shared" si="17"/>
        <v>0.84432506250000006</v>
      </c>
      <c r="G159" s="14">
        <f t="shared" si="18"/>
        <v>0.23504890907192819</v>
      </c>
    </row>
    <row r="160" spans="1:7" ht="25.5" customHeight="1" outlineLevel="3" x14ac:dyDescent="0.25">
      <c r="A160" s="10" t="s">
        <v>26</v>
      </c>
      <c r="B160" s="11">
        <v>45038</v>
      </c>
      <c r="C160" s="11">
        <v>12510</v>
      </c>
      <c r="D160" s="11">
        <v>6928.78</v>
      </c>
      <c r="E160" s="11">
        <v>6928.78</v>
      </c>
      <c r="F160" s="14">
        <f t="shared" si="17"/>
        <v>0.55385931254996001</v>
      </c>
      <c r="G160" s="14">
        <f t="shared" si="18"/>
        <v>0.15384297704160929</v>
      </c>
    </row>
    <row r="161" spans="1:7" ht="27" customHeight="1" outlineLevel="3" x14ac:dyDescent="0.25">
      <c r="A161" s="10" t="s">
        <v>16</v>
      </c>
      <c r="B161" s="11">
        <v>3000</v>
      </c>
      <c r="C161" s="11">
        <v>3000</v>
      </c>
      <c r="D161" s="12"/>
      <c r="E161" s="12"/>
      <c r="F161" s="14">
        <f t="shared" si="17"/>
        <v>0</v>
      </c>
      <c r="G161" s="14">
        <f t="shared" si="18"/>
        <v>0</v>
      </c>
    </row>
    <row r="162" spans="1:7" s="78" customFormat="1" ht="19.5" customHeight="1" outlineLevel="2" x14ac:dyDescent="0.25">
      <c r="A162" s="8" t="s">
        <v>30</v>
      </c>
      <c r="B162" s="9">
        <v>60530209</v>
      </c>
      <c r="C162" s="9">
        <v>17427506</v>
      </c>
      <c r="D162" s="9">
        <v>14983827.6</v>
      </c>
      <c r="E162" s="9">
        <v>14983827.6</v>
      </c>
      <c r="F162" s="16">
        <f t="shared" si="17"/>
        <v>0.85978037247555672</v>
      </c>
      <c r="G162" s="16">
        <f t="shared" si="18"/>
        <v>0.24754296817313154</v>
      </c>
    </row>
    <row r="163" spans="1:7" ht="15" customHeight="1" outlineLevel="3" x14ac:dyDescent="0.25">
      <c r="A163" s="10" t="s">
        <v>9</v>
      </c>
      <c r="B163" s="11">
        <v>35779200</v>
      </c>
      <c r="C163" s="11">
        <v>9755010</v>
      </c>
      <c r="D163" s="11">
        <v>9754985.9399999995</v>
      </c>
      <c r="E163" s="11">
        <v>9754985.9399999995</v>
      </c>
      <c r="F163" s="14">
        <f t="shared" si="17"/>
        <v>0.99999753357505528</v>
      </c>
      <c r="G163" s="14">
        <f t="shared" si="18"/>
        <v>0.272644048497451</v>
      </c>
    </row>
    <row r="164" spans="1:7" ht="15" customHeight="1" outlineLevel="3" x14ac:dyDescent="0.25">
      <c r="A164" s="10" t="s">
        <v>10</v>
      </c>
      <c r="B164" s="11">
        <v>7871424</v>
      </c>
      <c r="C164" s="11">
        <v>2146102</v>
      </c>
      <c r="D164" s="11">
        <v>2146102</v>
      </c>
      <c r="E164" s="11">
        <v>2146102</v>
      </c>
      <c r="F164" s="14">
        <f t="shared" si="17"/>
        <v>1</v>
      </c>
      <c r="G164" s="14">
        <f t="shared" si="18"/>
        <v>0.27264469554682863</v>
      </c>
    </row>
    <row r="165" spans="1:7" ht="15" customHeight="1" outlineLevel="3" x14ac:dyDescent="0.25">
      <c r="A165" s="10" t="s">
        <v>11</v>
      </c>
      <c r="B165" s="11">
        <v>1227715</v>
      </c>
      <c r="C165" s="11">
        <v>1100000</v>
      </c>
      <c r="D165" s="11">
        <v>614224.86</v>
      </c>
      <c r="E165" s="11">
        <v>614224.86</v>
      </c>
      <c r="F165" s="14">
        <f t="shared" si="17"/>
        <v>0.55838623636363638</v>
      </c>
      <c r="G165" s="14">
        <f t="shared" si="18"/>
        <v>0.50029922253943304</v>
      </c>
    </row>
    <row r="166" spans="1:7" ht="15" customHeight="1" outlineLevel="3" x14ac:dyDescent="0.25">
      <c r="A166" s="10" t="s">
        <v>29</v>
      </c>
      <c r="B166" s="11">
        <v>35213</v>
      </c>
      <c r="C166" s="12"/>
      <c r="D166" s="12"/>
      <c r="E166" s="12"/>
      <c r="F166" s="14">
        <v>0</v>
      </c>
      <c r="G166" s="14">
        <f t="shared" si="18"/>
        <v>0</v>
      </c>
    </row>
    <row r="167" spans="1:7" ht="15" customHeight="1" outlineLevel="3" x14ac:dyDescent="0.25">
      <c r="A167" s="10" t="s">
        <v>12</v>
      </c>
      <c r="B167" s="11">
        <v>4506338</v>
      </c>
      <c r="C167" s="11">
        <v>90000</v>
      </c>
      <c r="D167" s="11">
        <v>103165.47</v>
      </c>
      <c r="E167" s="11">
        <v>103165.47</v>
      </c>
      <c r="F167" s="14">
        <f t="shared" ref="F167:F172" si="19">D167/C167</f>
        <v>1.1462829999999999</v>
      </c>
      <c r="G167" s="14">
        <f t="shared" si="18"/>
        <v>2.2893415895567534E-2</v>
      </c>
    </row>
    <row r="168" spans="1:7" ht="15" customHeight="1" outlineLevel="3" x14ac:dyDescent="0.25">
      <c r="A168" s="10" t="s">
        <v>13</v>
      </c>
      <c r="B168" s="11">
        <v>6837562</v>
      </c>
      <c r="C168" s="11">
        <v>3338244</v>
      </c>
      <c r="D168" s="11">
        <v>1805029.49</v>
      </c>
      <c r="E168" s="11">
        <v>1805029.49</v>
      </c>
      <c r="F168" s="14">
        <f t="shared" si="19"/>
        <v>0.54071226968430108</v>
      </c>
      <c r="G168" s="14">
        <f t="shared" si="18"/>
        <v>0.26398729400918047</v>
      </c>
    </row>
    <row r="169" spans="1:7" ht="15" customHeight="1" outlineLevel="3" x14ac:dyDescent="0.25">
      <c r="A169" s="10" t="s">
        <v>14</v>
      </c>
      <c r="B169" s="11">
        <v>467219</v>
      </c>
      <c r="C169" s="11">
        <v>133530</v>
      </c>
      <c r="D169" s="11">
        <v>98435.69</v>
      </c>
      <c r="E169" s="11">
        <v>98435.69</v>
      </c>
      <c r="F169" s="14">
        <f t="shared" si="19"/>
        <v>0.73718033400733918</v>
      </c>
      <c r="G169" s="14">
        <f t="shared" si="18"/>
        <v>0.21068426155614392</v>
      </c>
    </row>
    <row r="170" spans="1:7" ht="15" customHeight="1" outlineLevel="3" x14ac:dyDescent="0.25">
      <c r="A170" s="10" t="s">
        <v>15</v>
      </c>
      <c r="B170" s="11">
        <v>2297200</v>
      </c>
      <c r="C170" s="11">
        <v>824660</v>
      </c>
      <c r="D170" s="11">
        <v>446620.03</v>
      </c>
      <c r="E170" s="11">
        <v>446620.03</v>
      </c>
      <c r="F170" s="14">
        <f t="shared" si="19"/>
        <v>0.54158080906070383</v>
      </c>
      <c r="G170" s="14">
        <f t="shared" si="18"/>
        <v>0.19441930611178829</v>
      </c>
    </row>
    <row r="171" spans="1:7" ht="15" customHeight="1" outlineLevel="3" x14ac:dyDescent="0.25">
      <c r="A171" s="10" t="s">
        <v>26</v>
      </c>
      <c r="B171" s="11">
        <v>147838</v>
      </c>
      <c r="C171" s="11">
        <v>36960</v>
      </c>
      <c r="D171" s="11">
        <v>12264.12</v>
      </c>
      <c r="E171" s="11">
        <v>12264.12</v>
      </c>
      <c r="F171" s="14">
        <f t="shared" si="19"/>
        <v>0.3318214285714286</v>
      </c>
      <c r="G171" s="14">
        <f t="shared" si="18"/>
        <v>8.2956479389602142E-2</v>
      </c>
    </row>
    <row r="172" spans="1:7" ht="28.5" customHeight="1" outlineLevel="3" x14ac:dyDescent="0.25">
      <c r="A172" s="10" t="s">
        <v>16</v>
      </c>
      <c r="B172" s="11">
        <v>3000</v>
      </c>
      <c r="C172" s="11">
        <v>3000</v>
      </c>
      <c r="D172" s="11">
        <v>3000</v>
      </c>
      <c r="E172" s="11">
        <v>3000</v>
      </c>
      <c r="F172" s="14">
        <f t="shared" si="19"/>
        <v>1</v>
      </c>
      <c r="G172" s="14">
        <f t="shared" si="18"/>
        <v>1</v>
      </c>
    </row>
    <row r="173" spans="1:7" ht="30" customHeight="1" outlineLevel="3" x14ac:dyDescent="0.25">
      <c r="A173" s="10" t="s">
        <v>56</v>
      </c>
      <c r="B173" s="11">
        <v>1357500</v>
      </c>
      <c r="C173" s="12"/>
      <c r="D173" s="12"/>
      <c r="E173" s="12"/>
      <c r="F173" s="14">
        <v>0</v>
      </c>
      <c r="G173" s="14">
        <f t="shared" si="18"/>
        <v>0</v>
      </c>
    </row>
    <row r="174" spans="1:7" s="78" customFormat="1" ht="27" customHeight="1" outlineLevel="2" x14ac:dyDescent="0.25">
      <c r="A174" s="8" t="s">
        <v>35</v>
      </c>
      <c r="B174" s="9">
        <v>37960952</v>
      </c>
      <c r="C174" s="9">
        <v>10398904</v>
      </c>
      <c r="D174" s="9">
        <v>9115214.7100000009</v>
      </c>
      <c r="E174" s="9">
        <v>9115214.7100000009</v>
      </c>
      <c r="F174" s="16">
        <f>D174/C174</f>
        <v>0.87655532833075489</v>
      </c>
      <c r="G174" s="16">
        <f t="shared" si="18"/>
        <v>0.24012081440950167</v>
      </c>
    </row>
    <row r="175" spans="1:7" ht="15" customHeight="1" outlineLevel="3" x14ac:dyDescent="0.25">
      <c r="A175" s="10" t="s">
        <v>9</v>
      </c>
      <c r="B175" s="11">
        <v>23773000</v>
      </c>
      <c r="C175" s="11">
        <v>6750000</v>
      </c>
      <c r="D175" s="11">
        <v>6708721.7800000003</v>
      </c>
      <c r="E175" s="11">
        <v>6708721.7800000003</v>
      </c>
      <c r="F175" s="14">
        <f>D175/C175</f>
        <v>0.99388470814814822</v>
      </c>
      <c r="G175" s="14">
        <f t="shared" si="18"/>
        <v>0.28219920834560214</v>
      </c>
    </row>
    <row r="176" spans="1:7" ht="15" customHeight="1" outlineLevel="3" x14ac:dyDescent="0.25">
      <c r="A176" s="10" t="s">
        <v>10</v>
      </c>
      <c r="B176" s="11">
        <v>5230060</v>
      </c>
      <c r="C176" s="11">
        <v>1485000</v>
      </c>
      <c r="D176" s="11">
        <v>1459645.92</v>
      </c>
      <c r="E176" s="11">
        <v>1459645.92</v>
      </c>
      <c r="F176" s="14">
        <f>D176/C176</f>
        <v>0.98292654545454539</v>
      </c>
      <c r="G176" s="14">
        <f t="shared" si="18"/>
        <v>0.27908779631591224</v>
      </c>
    </row>
    <row r="177" spans="1:7" ht="15" customHeight="1" outlineLevel="3" x14ac:dyDescent="0.25">
      <c r="A177" s="10" t="s">
        <v>11</v>
      </c>
      <c r="B177" s="11">
        <v>775580</v>
      </c>
      <c r="C177" s="11">
        <v>250000</v>
      </c>
      <c r="D177" s="11">
        <v>245172.4</v>
      </c>
      <c r="E177" s="11">
        <v>245172.4</v>
      </c>
      <c r="F177" s="14">
        <f>D177/C177</f>
        <v>0.98068959999999994</v>
      </c>
      <c r="G177" s="14">
        <f t="shared" si="18"/>
        <v>0.31611490755305705</v>
      </c>
    </row>
    <row r="178" spans="1:7" ht="15" customHeight="1" outlineLevel="3" x14ac:dyDescent="0.25">
      <c r="A178" s="10" t="s">
        <v>29</v>
      </c>
      <c r="B178" s="11">
        <v>27117</v>
      </c>
      <c r="C178" s="12"/>
      <c r="D178" s="12"/>
      <c r="E178" s="12"/>
      <c r="F178" s="14">
        <v>0</v>
      </c>
      <c r="G178" s="14">
        <f t="shared" si="18"/>
        <v>0</v>
      </c>
    </row>
    <row r="179" spans="1:7" ht="15" customHeight="1" outlineLevel="3" x14ac:dyDescent="0.25">
      <c r="A179" s="10" t="s">
        <v>12</v>
      </c>
      <c r="B179" s="11">
        <v>2846815</v>
      </c>
      <c r="C179" s="11">
        <v>480000</v>
      </c>
      <c r="D179" s="11">
        <v>64461.19</v>
      </c>
      <c r="E179" s="11">
        <v>64461.19</v>
      </c>
      <c r="F179" s="14">
        <f t="shared" ref="F179:F184" si="20">D179/C179</f>
        <v>0.13429414583333335</v>
      </c>
      <c r="G179" s="14">
        <f t="shared" si="18"/>
        <v>2.2643266246665135E-2</v>
      </c>
    </row>
    <row r="180" spans="1:7" ht="15" customHeight="1" outlineLevel="3" x14ac:dyDescent="0.25">
      <c r="A180" s="10" t="s">
        <v>13</v>
      </c>
      <c r="B180" s="11">
        <v>2361817</v>
      </c>
      <c r="C180" s="11">
        <v>903310</v>
      </c>
      <c r="D180" s="11">
        <v>346144.94</v>
      </c>
      <c r="E180" s="11">
        <v>346144.94</v>
      </c>
      <c r="F180" s="14">
        <f t="shared" si="20"/>
        <v>0.38319617849907561</v>
      </c>
      <c r="G180" s="14">
        <f t="shared" si="18"/>
        <v>0.14655874693085874</v>
      </c>
    </row>
    <row r="181" spans="1:7" ht="15" customHeight="1" outlineLevel="3" x14ac:dyDescent="0.25">
      <c r="A181" s="10" t="s">
        <v>14</v>
      </c>
      <c r="B181" s="11">
        <v>197588</v>
      </c>
      <c r="C181" s="11">
        <v>48394</v>
      </c>
      <c r="D181" s="11">
        <v>44052.09</v>
      </c>
      <c r="E181" s="11">
        <v>44052.09</v>
      </c>
      <c r="F181" s="14">
        <f t="shared" si="20"/>
        <v>0.91027999338761001</v>
      </c>
      <c r="G181" s="14">
        <f t="shared" si="18"/>
        <v>0.22294921756381963</v>
      </c>
    </row>
    <row r="182" spans="1:7" ht="15" customHeight="1" outlineLevel="3" x14ac:dyDescent="0.25">
      <c r="A182" s="10" t="s">
        <v>15</v>
      </c>
      <c r="B182" s="11">
        <v>1326520</v>
      </c>
      <c r="C182" s="11">
        <v>463300</v>
      </c>
      <c r="D182" s="11">
        <v>231116.39</v>
      </c>
      <c r="E182" s="11">
        <v>231116.39</v>
      </c>
      <c r="F182" s="14">
        <f t="shared" si="20"/>
        <v>0.49884824088063895</v>
      </c>
      <c r="G182" s="14">
        <f t="shared" si="18"/>
        <v>0.17422759551307182</v>
      </c>
    </row>
    <row r="183" spans="1:7" ht="15" customHeight="1" outlineLevel="3" x14ac:dyDescent="0.25">
      <c r="A183" s="10" t="s">
        <v>26</v>
      </c>
      <c r="B183" s="11">
        <v>61955</v>
      </c>
      <c r="C183" s="11">
        <v>15900</v>
      </c>
      <c r="D183" s="11">
        <v>15900</v>
      </c>
      <c r="E183" s="11">
        <v>15900</v>
      </c>
      <c r="F183" s="14">
        <f t="shared" si="20"/>
        <v>1</v>
      </c>
      <c r="G183" s="14">
        <f t="shared" si="18"/>
        <v>0.25663788233395207</v>
      </c>
    </row>
    <row r="184" spans="1:7" ht="28.5" customHeight="1" outlineLevel="3" x14ac:dyDescent="0.25">
      <c r="A184" s="10" t="s">
        <v>16</v>
      </c>
      <c r="B184" s="11">
        <v>3000</v>
      </c>
      <c r="C184" s="11">
        <v>3000</v>
      </c>
      <c r="D184" s="12"/>
      <c r="E184" s="12"/>
      <c r="F184" s="14">
        <f t="shared" si="20"/>
        <v>0</v>
      </c>
      <c r="G184" s="14">
        <f t="shared" si="18"/>
        <v>0</v>
      </c>
    </row>
    <row r="185" spans="1:7" ht="30.75" customHeight="1" outlineLevel="3" x14ac:dyDescent="0.25">
      <c r="A185" s="10" t="s">
        <v>56</v>
      </c>
      <c r="B185" s="11">
        <v>1357500</v>
      </c>
      <c r="C185" s="12"/>
      <c r="D185" s="12"/>
      <c r="E185" s="12"/>
      <c r="F185" s="14">
        <v>0</v>
      </c>
      <c r="G185" s="14">
        <f t="shared" si="18"/>
        <v>0</v>
      </c>
    </row>
    <row r="186" spans="1:7" s="78" customFormat="1" ht="27" customHeight="1" outlineLevel="2" x14ac:dyDescent="0.25">
      <c r="A186" s="8" t="s">
        <v>23</v>
      </c>
      <c r="B186" s="9">
        <v>1095913103</v>
      </c>
      <c r="C186" s="9">
        <f>341691454-C174-C162-C150-C139</f>
        <v>287596631</v>
      </c>
      <c r="D186" s="9">
        <v>235603238.90000001</v>
      </c>
      <c r="E186" s="9">
        <v>235252577.38999999</v>
      </c>
      <c r="F186" s="16">
        <f>D186/C186</f>
        <v>0.81921418231077958</v>
      </c>
      <c r="G186" s="16">
        <f t="shared" si="18"/>
        <v>0.21498350394301291</v>
      </c>
    </row>
    <row r="187" spans="1:7" ht="14.25" customHeight="1" outlineLevel="3" x14ac:dyDescent="0.25">
      <c r="A187" s="10" t="s">
        <v>9</v>
      </c>
      <c r="B187" s="11">
        <v>672181519</v>
      </c>
      <c r="C187" s="11">
        <f>196757135-C175-C163-C151-C140</f>
        <v>163302125</v>
      </c>
      <c r="D187" s="11">
        <v>158681692.59999999</v>
      </c>
      <c r="E187" s="11">
        <v>158681692.59999999</v>
      </c>
      <c r="F187" s="14">
        <f>D187/C187</f>
        <v>0.9717062322367207</v>
      </c>
      <c r="G187" s="14">
        <f t="shared" si="18"/>
        <v>0.23606970455847953</v>
      </c>
    </row>
    <row r="188" spans="1:7" ht="14.25" customHeight="1" outlineLevel="3" x14ac:dyDescent="0.25">
      <c r="A188" s="10" t="s">
        <v>10</v>
      </c>
      <c r="B188" s="11">
        <v>147879934</v>
      </c>
      <c r="C188" s="11">
        <f>43286569-C176-C164-C152-C141</f>
        <v>35926467</v>
      </c>
      <c r="D188" s="11">
        <v>34375069.100000001</v>
      </c>
      <c r="E188" s="11">
        <v>34375069.100000001</v>
      </c>
      <c r="F188" s="14">
        <f>D188/C188</f>
        <v>0.95681740984995833</v>
      </c>
      <c r="G188" s="14">
        <f t="shared" si="18"/>
        <v>0.23245255911461254</v>
      </c>
    </row>
    <row r="189" spans="1:7" ht="14.25" customHeight="1" outlineLevel="3" x14ac:dyDescent="0.25">
      <c r="A189" s="10" t="s">
        <v>11</v>
      </c>
      <c r="B189" s="11">
        <v>26149108</v>
      </c>
      <c r="C189" s="11">
        <f>2852403-C177-C165-C153-C142</f>
        <v>907403</v>
      </c>
      <c r="D189" s="11">
        <v>181048.5</v>
      </c>
      <c r="E189" s="11">
        <v>181048.5</v>
      </c>
      <c r="F189" s="14">
        <f>D189/C189</f>
        <v>0.19952380585032228</v>
      </c>
      <c r="G189" s="14">
        <f t="shared" si="18"/>
        <v>6.9236969765852051E-3</v>
      </c>
    </row>
    <row r="190" spans="1:7" ht="14.25" customHeight="1" outlineLevel="3" x14ac:dyDescent="0.25">
      <c r="A190" s="10" t="s">
        <v>29</v>
      </c>
      <c r="B190" s="11">
        <v>652970</v>
      </c>
      <c r="C190" s="11"/>
      <c r="D190" s="12"/>
      <c r="E190" s="12"/>
      <c r="F190" s="14">
        <v>0</v>
      </c>
      <c r="G190" s="14">
        <f t="shared" si="18"/>
        <v>0</v>
      </c>
    </row>
    <row r="191" spans="1:7" ht="14.25" customHeight="1" outlineLevel="3" x14ac:dyDescent="0.25">
      <c r="A191" s="10" t="s">
        <v>34</v>
      </c>
      <c r="B191" s="11">
        <v>18915678</v>
      </c>
      <c r="C191" s="11">
        <f>11041028-C155</f>
        <v>10549578</v>
      </c>
      <c r="D191" s="11">
        <v>2803833.99</v>
      </c>
      <c r="E191" s="11">
        <v>2453172.48</v>
      </c>
      <c r="F191" s="14">
        <f t="shared" ref="F191:F197" si="21">D191/C191</f>
        <v>0.26577688605174543</v>
      </c>
      <c r="G191" s="14">
        <f t="shared" si="18"/>
        <v>0.1482280460684518</v>
      </c>
    </row>
    <row r="192" spans="1:7" ht="14.25" customHeight="1" outlineLevel="3" x14ac:dyDescent="0.25">
      <c r="A192" s="10" t="s">
        <v>12</v>
      </c>
      <c r="B192" s="11">
        <v>118237657</v>
      </c>
      <c r="C192" s="11">
        <f>22733972-C179-C167-C156-C144</f>
        <v>21303022</v>
      </c>
      <c r="D192" s="11">
        <v>1426877.51</v>
      </c>
      <c r="E192" s="11">
        <v>1426877.51</v>
      </c>
      <c r="F192" s="14">
        <f t="shared" si="21"/>
        <v>6.6980051468754062E-2</v>
      </c>
      <c r="G192" s="14">
        <f t="shared" si="18"/>
        <v>1.2067877072361134E-2</v>
      </c>
    </row>
    <row r="193" spans="1:7" ht="14.25" customHeight="1" outlineLevel="3" x14ac:dyDescent="0.25">
      <c r="A193" s="10" t="s">
        <v>13</v>
      </c>
      <c r="B193" s="11">
        <v>78095761</v>
      </c>
      <c r="C193" s="11">
        <f>50113664-C180-C168-C157-C145</f>
        <v>43623924</v>
      </c>
      <c r="D193" s="11">
        <v>28805510.050000001</v>
      </c>
      <c r="E193" s="11">
        <v>28805510.050000001</v>
      </c>
      <c r="F193" s="14">
        <f t="shared" si="21"/>
        <v>0.66031451113842943</v>
      </c>
      <c r="G193" s="14">
        <f t="shared" si="18"/>
        <v>0.36884857361208123</v>
      </c>
    </row>
    <row r="194" spans="1:7" ht="14.25" customHeight="1" outlineLevel="3" x14ac:dyDescent="0.25">
      <c r="A194" s="10" t="s">
        <v>14</v>
      </c>
      <c r="B194" s="11">
        <v>5425963</v>
      </c>
      <c r="C194" s="11">
        <f>1929429-C181-C169-C158-C146</f>
        <v>1573028</v>
      </c>
      <c r="D194" s="11">
        <v>1295496.29</v>
      </c>
      <c r="E194" s="11">
        <v>1295496.29</v>
      </c>
      <c r="F194" s="14">
        <f t="shared" si="21"/>
        <v>0.82356848701993868</v>
      </c>
      <c r="G194" s="14">
        <f t="shared" si="18"/>
        <v>0.23875877701340759</v>
      </c>
    </row>
    <row r="195" spans="1:7" ht="14.25" customHeight="1" outlineLevel="3" x14ac:dyDescent="0.25">
      <c r="A195" s="10" t="s">
        <v>15</v>
      </c>
      <c r="B195" s="11">
        <v>27187250</v>
      </c>
      <c r="C195" s="11">
        <f>12415630-C182-C170-C159-C147</f>
        <v>9934330</v>
      </c>
      <c r="D195" s="11">
        <v>7784975.1299999999</v>
      </c>
      <c r="E195" s="11">
        <v>7784975.1299999999</v>
      </c>
      <c r="F195" s="14">
        <f t="shared" si="21"/>
        <v>0.78364370118568638</v>
      </c>
      <c r="G195" s="14">
        <f t="shared" si="18"/>
        <v>0.28634654589927261</v>
      </c>
    </row>
    <row r="196" spans="1:7" ht="14.25" customHeight="1" outlineLevel="3" x14ac:dyDescent="0.25">
      <c r="A196" s="10" t="s">
        <v>32</v>
      </c>
      <c r="B196" s="11">
        <v>1500</v>
      </c>
      <c r="C196" s="11">
        <f>644</f>
        <v>644</v>
      </c>
      <c r="D196" s="12"/>
      <c r="E196" s="12"/>
      <c r="F196" s="14">
        <f t="shared" si="21"/>
        <v>0</v>
      </c>
      <c r="G196" s="14">
        <f t="shared" si="18"/>
        <v>0</v>
      </c>
    </row>
    <row r="197" spans="1:7" ht="14.25" customHeight="1" outlineLevel="3" x14ac:dyDescent="0.25">
      <c r="A197" s="10" t="s">
        <v>26</v>
      </c>
      <c r="B197" s="11">
        <v>1047763</v>
      </c>
      <c r="C197" s="11">
        <f>548980-C183-C171-C160-C148</f>
        <v>476110</v>
      </c>
      <c r="D197" s="11">
        <v>248735.73</v>
      </c>
      <c r="E197" s="11">
        <v>248735.73</v>
      </c>
      <c r="F197" s="14">
        <f t="shared" si="21"/>
        <v>0.52243332423179523</v>
      </c>
      <c r="G197" s="14">
        <f t="shared" si="18"/>
        <v>0.23739693995684139</v>
      </c>
    </row>
    <row r="198" spans="1:7" ht="27" customHeight="1" outlineLevel="3" x14ac:dyDescent="0.25">
      <c r="A198" s="10" t="s">
        <v>16</v>
      </c>
      <c r="B198" s="11">
        <v>138000</v>
      </c>
      <c r="C198" s="11">
        <f>12000-C184-C172-C161-C149</f>
        <v>0</v>
      </c>
      <c r="D198" s="12"/>
      <c r="E198" s="12"/>
      <c r="F198" s="14">
        <v>0</v>
      </c>
      <c r="G198" s="14">
        <f t="shared" si="18"/>
        <v>0</v>
      </c>
    </row>
    <row r="199" spans="1:7" s="54" customFormat="1" ht="78" customHeight="1" outlineLevel="1" x14ac:dyDescent="0.25">
      <c r="A199" s="28" t="s">
        <v>67</v>
      </c>
      <c r="B199" s="22">
        <v>64716290</v>
      </c>
      <c r="C199" s="22">
        <v>16981930</v>
      </c>
      <c r="D199" s="22">
        <v>11676978.050000001</v>
      </c>
      <c r="E199" s="22">
        <v>11676978.050000001</v>
      </c>
      <c r="F199" s="23">
        <f>D199/C199</f>
        <v>0.68761195282279464</v>
      </c>
      <c r="G199" s="23">
        <f t="shared" si="18"/>
        <v>0.1804333661586596</v>
      </c>
    </row>
    <row r="200" spans="1:7" s="78" customFormat="1" ht="28.5" customHeight="1" outlineLevel="2" x14ac:dyDescent="0.25">
      <c r="A200" s="8" t="s">
        <v>23</v>
      </c>
      <c r="B200" s="9">
        <v>64716290</v>
      </c>
      <c r="C200" s="9">
        <v>16981930</v>
      </c>
      <c r="D200" s="9">
        <v>11676978.050000001</v>
      </c>
      <c r="E200" s="9">
        <v>11676978.050000001</v>
      </c>
      <c r="F200" s="16">
        <f>D200/C200</f>
        <v>0.68761195282279464</v>
      </c>
      <c r="G200" s="16">
        <f t="shared" si="18"/>
        <v>0.1804333661586596</v>
      </c>
    </row>
    <row r="201" spans="1:7" ht="16.5" customHeight="1" outlineLevel="3" x14ac:dyDescent="0.25">
      <c r="A201" s="10" t="s">
        <v>9</v>
      </c>
      <c r="B201" s="11">
        <v>36926577</v>
      </c>
      <c r="C201" s="11">
        <v>8717012</v>
      </c>
      <c r="D201" s="11">
        <v>7702978.3200000003</v>
      </c>
      <c r="E201" s="11">
        <v>7702978.3200000003</v>
      </c>
      <c r="F201" s="14">
        <f>D201/C201</f>
        <v>0.88367187288488303</v>
      </c>
      <c r="G201" s="14">
        <f t="shared" si="18"/>
        <v>0.2086025552815253</v>
      </c>
    </row>
    <row r="202" spans="1:7" ht="16.5" customHeight="1" outlineLevel="3" x14ac:dyDescent="0.25">
      <c r="A202" s="10" t="s">
        <v>10</v>
      </c>
      <c r="B202" s="11">
        <v>8123847</v>
      </c>
      <c r="C202" s="11">
        <v>1917744</v>
      </c>
      <c r="D202" s="11">
        <v>1701586.52</v>
      </c>
      <c r="E202" s="11">
        <v>1701586.52</v>
      </c>
      <c r="F202" s="14">
        <f>D202/C202</f>
        <v>0.88728553967578572</v>
      </c>
      <c r="G202" s="14">
        <f t="shared" si="18"/>
        <v>0.20945575661383087</v>
      </c>
    </row>
    <row r="203" spans="1:7" ht="16.5" customHeight="1" outlineLevel="3" x14ac:dyDescent="0.25">
      <c r="A203" s="10" t="s">
        <v>11</v>
      </c>
      <c r="B203" s="11">
        <v>2000000</v>
      </c>
      <c r="C203" s="11">
        <v>500000</v>
      </c>
      <c r="D203" s="11">
        <v>8579.4</v>
      </c>
      <c r="E203" s="11">
        <v>8579.4</v>
      </c>
      <c r="F203" s="14">
        <f>D203/C203</f>
        <v>1.7158799999999998E-2</v>
      </c>
      <c r="G203" s="14">
        <f t="shared" si="18"/>
        <v>4.2896999999999996E-3</v>
      </c>
    </row>
    <row r="204" spans="1:7" ht="16.5" customHeight="1" outlineLevel="3" x14ac:dyDescent="0.25">
      <c r="A204" s="10" t="s">
        <v>29</v>
      </c>
      <c r="B204" s="11">
        <v>30000</v>
      </c>
      <c r="C204" s="11"/>
      <c r="D204" s="12"/>
      <c r="E204" s="12"/>
      <c r="F204" s="14">
        <v>0</v>
      </c>
      <c r="G204" s="14">
        <f t="shared" si="18"/>
        <v>0</v>
      </c>
    </row>
    <row r="205" spans="1:7" ht="16.5" customHeight="1" outlineLevel="3" x14ac:dyDescent="0.25">
      <c r="A205" s="10" t="s">
        <v>34</v>
      </c>
      <c r="B205" s="11">
        <v>4187462</v>
      </c>
      <c r="C205" s="11">
        <v>1340000</v>
      </c>
      <c r="D205" s="11">
        <v>470284.16</v>
      </c>
      <c r="E205" s="11">
        <v>470284.16</v>
      </c>
      <c r="F205" s="14">
        <f t="shared" ref="F205:F211" si="22">D205/C205</f>
        <v>0.35095832835820895</v>
      </c>
      <c r="G205" s="14">
        <f t="shared" si="18"/>
        <v>0.11230768422495535</v>
      </c>
    </row>
    <row r="206" spans="1:7" ht="16.5" customHeight="1" outlineLevel="3" x14ac:dyDescent="0.25">
      <c r="A206" s="10" t="s">
        <v>12</v>
      </c>
      <c r="B206" s="11">
        <v>3025300</v>
      </c>
      <c r="C206" s="11">
        <v>325300</v>
      </c>
      <c r="D206" s="11">
        <v>36986.639999999999</v>
      </c>
      <c r="E206" s="11">
        <v>36986.639999999999</v>
      </c>
      <c r="F206" s="14">
        <f t="shared" si="22"/>
        <v>0.11370009222256379</v>
      </c>
      <c r="G206" s="14">
        <f t="shared" si="18"/>
        <v>1.2225775956103527E-2</v>
      </c>
    </row>
    <row r="207" spans="1:7" ht="16.5" customHeight="1" outlineLevel="3" x14ac:dyDescent="0.25">
      <c r="A207" s="10" t="s">
        <v>13</v>
      </c>
      <c r="B207" s="11">
        <v>6494319</v>
      </c>
      <c r="C207" s="11">
        <v>3742728</v>
      </c>
      <c r="D207" s="11">
        <v>1423854.9</v>
      </c>
      <c r="E207" s="11">
        <v>1423854.9</v>
      </c>
      <c r="F207" s="14">
        <f t="shared" si="22"/>
        <v>0.38043237446055389</v>
      </c>
      <c r="G207" s="14">
        <f t="shared" si="18"/>
        <v>0.21924622119732645</v>
      </c>
    </row>
    <row r="208" spans="1:7" ht="16.5" customHeight="1" outlineLevel="3" x14ac:dyDescent="0.25">
      <c r="A208" s="10" t="s">
        <v>14</v>
      </c>
      <c r="B208" s="11">
        <v>285424</v>
      </c>
      <c r="C208" s="11">
        <v>72887</v>
      </c>
      <c r="D208" s="11">
        <v>49588.15</v>
      </c>
      <c r="E208" s="11">
        <v>49588.15</v>
      </c>
      <c r="F208" s="14">
        <f t="shared" si="22"/>
        <v>0.68034285949483453</v>
      </c>
      <c r="G208" s="14">
        <f t="shared" si="18"/>
        <v>0.17373503980043725</v>
      </c>
    </row>
    <row r="209" spans="1:7" ht="16.5" customHeight="1" outlineLevel="3" x14ac:dyDescent="0.25">
      <c r="A209" s="10" t="s">
        <v>15</v>
      </c>
      <c r="B209" s="11">
        <v>1091140</v>
      </c>
      <c r="C209" s="11">
        <v>352000</v>
      </c>
      <c r="D209" s="11">
        <v>269827.11</v>
      </c>
      <c r="E209" s="11">
        <v>269827.11</v>
      </c>
      <c r="F209" s="14">
        <f t="shared" si="22"/>
        <v>0.76655428977272722</v>
      </c>
      <c r="G209" s="14">
        <f t="shared" si="18"/>
        <v>0.24728917462470443</v>
      </c>
    </row>
    <row r="210" spans="1:7" ht="16.5" customHeight="1" outlineLevel="3" x14ac:dyDescent="0.25">
      <c r="A210" s="10" t="s">
        <v>32</v>
      </c>
      <c r="B210" s="11">
        <v>2000</v>
      </c>
      <c r="C210" s="11">
        <v>1008</v>
      </c>
      <c r="D210" s="13">
        <v>71.48</v>
      </c>
      <c r="E210" s="13">
        <v>71.48</v>
      </c>
      <c r="F210" s="14">
        <f t="shared" si="22"/>
        <v>7.0912698412698413E-2</v>
      </c>
      <c r="G210" s="14">
        <f t="shared" si="18"/>
        <v>3.5740000000000001E-2</v>
      </c>
    </row>
    <row r="211" spans="1:7" ht="24" customHeight="1" outlineLevel="3" x14ac:dyDescent="0.25">
      <c r="A211" s="10" t="s">
        <v>26</v>
      </c>
      <c r="B211" s="11">
        <v>44221</v>
      </c>
      <c r="C211" s="11">
        <v>13251</v>
      </c>
      <c r="D211" s="11">
        <v>13221.37</v>
      </c>
      <c r="E211" s="11">
        <v>13221.37</v>
      </c>
      <c r="F211" s="14">
        <f t="shared" si="22"/>
        <v>0.99776394234397414</v>
      </c>
      <c r="G211" s="14">
        <f t="shared" si="18"/>
        <v>0.29898396689355738</v>
      </c>
    </row>
    <row r="212" spans="1:7" ht="27" customHeight="1" outlineLevel="3" x14ac:dyDescent="0.25">
      <c r="A212" s="10" t="s">
        <v>16</v>
      </c>
      <c r="B212" s="11">
        <v>6000</v>
      </c>
      <c r="C212" s="11"/>
      <c r="D212" s="12"/>
      <c r="E212" s="12"/>
      <c r="F212" s="14">
        <v>0</v>
      </c>
      <c r="G212" s="14">
        <f t="shared" si="18"/>
        <v>0</v>
      </c>
    </row>
    <row r="213" spans="1:7" ht="30" customHeight="1" outlineLevel="3" x14ac:dyDescent="0.25">
      <c r="A213" s="10" t="s">
        <v>56</v>
      </c>
      <c r="B213" s="11">
        <v>2500000</v>
      </c>
      <c r="C213" s="11"/>
      <c r="D213" s="12"/>
      <c r="E213" s="12"/>
      <c r="F213" s="14">
        <v>0</v>
      </c>
      <c r="G213" s="14">
        <f t="shared" si="18"/>
        <v>0</v>
      </c>
    </row>
    <row r="214" spans="1:7" ht="45.75" customHeight="1" outlineLevel="1" x14ac:dyDescent="0.25">
      <c r="A214" s="28" t="s">
        <v>68</v>
      </c>
      <c r="B214" s="22">
        <v>94331154</v>
      </c>
      <c r="C214" s="22">
        <f>C215+C226</f>
        <v>22036091</v>
      </c>
      <c r="D214" s="22">
        <v>17111235.07</v>
      </c>
      <c r="E214" s="22">
        <v>17111235.07</v>
      </c>
      <c r="F214" s="23">
        <f>D214/C214</f>
        <v>0.77650954835864494</v>
      </c>
      <c r="G214" s="23">
        <f t="shared" si="18"/>
        <v>0.18139537516948007</v>
      </c>
    </row>
    <row r="215" spans="1:7" s="78" customFormat="1" ht="26.25" customHeight="1" outlineLevel="2" x14ac:dyDescent="0.25">
      <c r="A215" s="8" t="s">
        <v>23</v>
      </c>
      <c r="B215" s="9">
        <v>31085605</v>
      </c>
      <c r="C215" s="9">
        <f>22036091-C226</f>
        <v>7633785</v>
      </c>
      <c r="D215" s="9">
        <v>4725591.62</v>
      </c>
      <c r="E215" s="9">
        <v>4725591.62</v>
      </c>
      <c r="F215" s="16">
        <f>D215/C215</f>
        <v>0.61903650941177935</v>
      </c>
      <c r="G215" s="16">
        <f t="shared" si="18"/>
        <v>0.15201864721629191</v>
      </c>
    </row>
    <row r="216" spans="1:7" ht="15" customHeight="1" outlineLevel="3" x14ac:dyDescent="0.25">
      <c r="A216" s="10" t="s">
        <v>9</v>
      </c>
      <c r="B216" s="11">
        <v>16695100</v>
      </c>
      <c r="C216" s="11">
        <f>13425193-C227</f>
        <v>3935593</v>
      </c>
      <c r="D216" s="11">
        <v>3552716.24</v>
      </c>
      <c r="E216" s="11">
        <v>3552716.24</v>
      </c>
      <c r="F216" s="14">
        <f>D216/C216</f>
        <v>0.90271434063430855</v>
      </c>
      <c r="G216" s="14">
        <f t="shared" si="18"/>
        <v>0.21279993770627312</v>
      </c>
    </row>
    <row r="217" spans="1:7" ht="15" customHeight="1" outlineLevel="3" x14ac:dyDescent="0.25">
      <c r="A217" s="10" t="s">
        <v>10</v>
      </c>
      <c r="B217" s="11">
        <v>3672922</v>
      </c>
      <c r="C217" s="11">
        <f>2953543-C228</f>
        <v>865831</v>
      </c>
      <c r="D217" s="11">
        <v>820044.47</v>
      </c>
      <c r="E217" s="11">
        <v>820044.47</v>
      </c>
      <c r="F217" s="14">
        <f>D217/C217</f>
        <v>0.94711839839414391</v>
      </c>
      <c r="G217" s="14">
        <f t="shared" si="18"/>
        <v>0.22326759729719281</v>
      </c>
    </row>
    <row r="218" spans="1:7" ht="15" customHeight="1" outlineLevel="3" x14ac:dyDescent="0.25">
      <c r="A218" s="10" t="s">
        <v>11</v>
      </c>
      <c r="B218" s="11">
        <v>1590000</v>
      </c>
      <c r="C218" s="11">
        <f>890000-C229</f>
        <v>290000</v>
      </c>
      <c r="D218" s="13">
        <v>484.5</v>
      </c>
      <c r="E218" s="13">
        <v>484.5</v>
      </c>
      <c r="F218" s="14">
        <f>D218/C218</f>
        <v>1.6706896551724139E-3</v>
      </c>
      <c r="G218" s="14">
        <f t="shared" si="18"/>
        <v>3.0471698113207545E-4</v>
      </c>
    </row>
    <row r="219" spans="1:7" ht="15" customHeight="1" outlineLevel="3" x14ac:dyDescent="0.25">
      <c r="A219" s="10" t="s">
        <v>29</v>
      </c>
      <c r="B219" s="11">
        <v>15000</v>
      </c>
      <c r="C219" s="12"/>
      <c r="D219" s="12"/>
      <c r="E219" s="12"/>
      <c r="F219" s="14">
        <v>0</v>
      </c>
      <c r="G219" s="14">
        <f t="shared" si="18"/>
        <v>0</v>
      </c>
    </row>
    <row r="220" spans="1:7" ht="15" customHeight="1" outlineLevel="3" x14ac:dyDescent="0.25">
      <c r="A220" s="10" t="s">
        <v>12</v>
      </c>
      <c r="B220" s="11">
        <v>6146400</v>
      </c>
      <c r="C220" s="11">
        <f>2850000-C231</f>
        <v>1250000</v>
      </c>
      <c r="D220" s="11">
        <v>9952.77</v>
      </c>
      <c r="E220" s="11">
        <v>9952.77</v>
      </c>
      <c r="F220" s="14">
        <f>D220/C220</f>
        <v>7.9622160000000011E-3</v>
      </c>
      <c r="G220" s="14">
        <f t="shared" ref="G220:G283" si="23">D220/B220</f>
        <v>1.6192844591956267E-3</v>
      </c>
    </row>
    <row r="221" spans="1:7" ht="15" customHeight="1" outlineLevel="3" x14ac:dyDescent="0.25">
      <c r="A221" s="10" t="s">
        <v>13</v>
      </c>
      <c r="B221" s="11">
        <v>2295071</v>
      </c>
      <c r="C221" s="11">
        <f>1425739-C232</f>
        <v>1202980</v>
      </c>
      <c r="D221" s="11">
        <v>264247.53999999998</v>
      </c>
      <c r="E221" s="11">
        <v>264247.53999999998</v>
      </c>
      <c r="F221" s="14">
        <f>D221/C221</f>
        <v>0.21966079236562536</v>
      </c>
      <c r="G221" s="14">
        <f t="shared" si="23"/>
        <v>0.11513697833313216</v>
      </c>
    </row>
    <row r="222" spans="1:7" ht="15" customHeight="1" outlineLevel="3" x14ac:dyDescent="0.25">
      <c r="A222" s="10" t="s">
        <v>14</v>
      </c>
      <c r="B222" s="11">
        <v>52570</v>
      </c>
      <c r="C222" s="11">
        <f>39002-C233</f>
        <v>15167</v>
      </c>
      <c r="D222" s="11">
        <v>11707.7</v>
      </c>
      <c r="E222" s="11">
        <v>11707.7</v>
      </c>
      <c r="F222" s="14">
        <f>D222/C222</f>
        <v>0.77191929847695662</v>
      </c>
      <c r="G222" s="14">
        <f t="shared" si="23"/>
        <v>0.22270686703443029</v>
      </c>
    </row>
    <row r="223" spans="1:7" ht="15" customHeight="1" outlineLevel="3" x14ac:dyDescent="0.25">
      <c r="A223" s="10" t="s">
        <v>15</v>
      </c>
      <c r="B223" s="11">
        <v>590760</v>
      </c>
      <c r="C223" s="11">
        <f>436600-C234</f>
        <v>66000</v>
      </c>
      <c r="D223" s="11">
        <v>65420.35</v>
      </c>
      <c r="E223" s="11">
        <v>65420.35</v>
      </c>
      <c r="F223" s="14">
        <f>D223/C223</f>
        <v>0.99121742424242421</v>
      </c>
      <c r="G223" s="14">
        <f t="shared" si="23"/>
        <v>0.11073930191617577</v>
      </c>
    </row>
    <row r="224" spans="1:7" ht="15" customHeight="1" outlineLevel="3" x14ac:dyDescent="0.25">
      <c r="A224" s="10" t="s">
        <v>26</v>
      </c>
      <c r="B224" s="11">
        <v>24782</v>
      </c>
      <c r="C224" s="11">
        <f>16014-C235</f>
        <v>8214</v>
      </c>
      <c r="D224" s="11">
        <v>1018.05</v>
      </c>
      <c r="E224" s="11">
        <v>1018.05</v>
      </c>
      <c r="F224" s="14">
        <f>D224/C224</f>
        <v>0.12394083272461651</v>
      </c>
      <c r="G224" s="14">
        <f t="shared" si="23"/>
        <v>4.1080219514163505E-2</v>
      </c>
    </row>
    <row r="225" spans="1:7" ht="27" customHeight="1" outlineLevel="3" x14ac:dyDescent="0.25">
      <c r="A225" s="10" t="s">
        <v>16</v>
      </c>
      <c r="B225" s="11">
        <v>3000</v>
      </c>
      <c r="C225" s="12"/>
      <c r="D225" s="12"/>
      <c r="E225" s="12"/>
      <c r="F225" s="14">
        <v>0</v>
      </c>
      <c r="G225" s="14">
        <f t="shared" si="23"/>
        <v>0</v>
      </c>
    </row>
    <row r="226" spans="1:7" s="78" customFormat="1" ht="32.25" customHeight="1" outlineLevel="2" x14ac:dyDescent="0.25">
      <c r="A226" s="8" t="s">
        <v>36</v>
      </c>
      <c r="B226" s="9">
        <v>63245549</v>
      </c>
      <c r="C226" s="9">
        <v>14402306</v>
      </c>
      <c r="D226" s="9">
        <v>12385643.449999999</v>
      </c>
      <c r="E226" s="9">
        <v>12385643.449999999</v>
      </c>
      <c r="F226" s="16">
        <f>D226/C226</f>
        <v>0.85997641280500492</v>
      </c>
      <c r="G226" s="16">
        <f t="shared" si="23"/>
        <v>0.19583423095908298</v>
      </c>
    </row>
    <row r="227" spans="1:7" ht="17.25" customHeight="1" outlineLevel="3" x14ac:dyDescent="0.25">
      <c r="A227" s="10" t="s">
        <v>9</v>
      </c>
      <c r="B227" s="11">
        <v>43835385</v>
      </c>
      <c r="C227" s="11">
        <v>9489600</v>
      </c>
      <c r="D227" s="11">
        <v>9434948.0299999993</v>
      </c>
      <c r="E227" s="11">
        <v>9434948.0299999993</v>
      </c>
      <c r="F227" s="14">
        <f>D227/C227</f>
        <v>0.99424085630585057</v>
      </c>
      <c r="G227" s="14">
        <f t="shared" si="23"/>
        <v>0.21523588831260407</v>
      </c>
    </row>
    <row r="228" spans="1:7" ht="17.25" customHeight="1" outlineLevel="3" x14ac:dyDescent="0.25">
      <c r="A228" s="10" t="s">
        <v>10</v>
      </c>
      <c r="B228" s="11">
        <v>9643785</v>
      </c>
      <c r="C228" s="11">
        <v>2087712</v>
      </c>
      <c r="D228" s="11">
        <v>2063615.18</v>
      </c>
      <c r="E228" s="11">
        <v>2063615.18</v>
      </c>
      <c r="F228" s="14">
        <f>D228/C228</f>
        <v>0.98845778536503115</v>
      </c>
      <c r="G228" s="14">
        <f t="shared" si="23"/>
        <v>0.21398394717426819</v>
      </c>
    </row>
    <row r="229" spans="1:7" ht="17.25" customHeight="1" outlineLevel="3" x14ac:dyDescent="0.25">
      <c r="A229" s="10" t="s">
        <v>11</v>
      </c>
      <c r="B229" s="11">
        <v>2600000</v>
      </c>
      <c r="C229" s="11">
        <v>600000</v>
      </c>
      <c r="D229" s="11">
        <v>272397.78999999998</v>
      </c>
      <c r="E229" s="11">
        <v>272397.78999999998</v>
      </c>
      <c r="F229" s="14">
        <f>D229/C229</f>
        <v>0.45399631666666662</v>
      </c>
      <c r="G229" s="14">
        <f t="shared" si="23"/>
        <v>0.10476838076923076</v>
      </c>
    </row>
    <row r="230" spans="1:7" ht="17.25" customHeight="1" outlineLevel="3" x14ac:dyDescent="0.25">
      <c r="A230" s="10" t="s">
        <v>29</v>
      </c>
      <c r="B230" s="11">
        <v>15000</v>
      </c>
      <c r="C230" s="12"/>
      <c r="D230" s="12"/>
      <c r="E230" s="12"/>
      <c r="F230" s="14">
        <v>0</v>
      </c>
      <c r="G230" s="14">
        <f t="shared" si="23"/>
        <v>0</v>
      </c>
    </row>
    <row r="231" spans="1:7" ht="17.25" customHeight="1" outlineLevel="3" x14ac:dyDescent="0.25">
      <c r="A231" s="10" t="s">
        <v>12</v>
      </c>
      <c r="B231" s="11">
        <v>5353600</v>
      </c>
      <c r="C231" s="11">
        <v>1600000</v>
      </c>
      <c r="D231" s="11">
        <v>142180.46</v>
      </c>
      <c r="E231" s="11">
        <v>142180.46</v>
      </c>
      <c r="F231" s="14">
        <f>D231/C231</f>
        <v>8.8862787499999998E-2</v>
      </c>
      <c r="G231" s="14">
        <f t="shared" si="23"/>
        <v>2.6557916168559473E-2</v>
      </c>
    </row>
    <row r="232" spans="1:7" ht="17.25" customHeight="1" outlineLevel="3" x14ac:dyDescent="0.25">
      <c r="A232" s="10" t="s">
        <v>13</v>
      </c>
      <c r="B232" s="11">
        <v>708003</v>
      </c>
      <c r="C232" s="11">
        <v>222759</v>
      </c>
      <c r="D232" s="11">
        <v>80267.72</v>
      </c>
      <c r="E232" s="11">
        <v>80267.72</v>
      </c>
      <c r="F232" s="14">
        <f>D232/C232</f>
        <v>0.3603343523718458</v>
      </c>
      <c r="G232" s="14">
        <f t="shared" si="23"/>
        <v>0.11337200548585247</v>
      </c>
    </row>
    <row r="233" spans="1:7" ht="17.25" customHeight="1" outlineLevel="3" x14ac:dyDescent="0.25">
      <c r="A233" s="10" t="s">
        <v>14</v>
      </c>
      <c r="B233" s="11">
        <v>95502</v>
      </c>
      <c r="C233" s="11">
        <v>23835</v>
      </c>
      <c r="D233" s="11">
        <v>17510.240000000002</v>
      </c>
      <c r="E233" s="11">
        <v>17510.240000000002</v>
      </c>
      <c r="F233" s="14">
        <f>D233/C233</f>
        <v>0.7346440109083282</v>
      </c>
      <c r="G233" s="14">
        <f t="shared" si="23"/>
        <v>0.18334945865008065</v>
      </c>
    </row>
    <row r="234" spans="1:7" ht="17.25" customHeight="1" outlineLevel="3" x14ac:dyDescent="0.25">
      <c r="A234" s="10" t="s">
        <v>15</v>
      </c>
      <c r="B234" s="11">
        <v>960000</v>
      </c>
      <c r="C234" s="11">
        <v>370600</v>
      </c>
      <c r="D234" s="11">
        <v>370600</v>
      </c>
      <c r="E234" s="11">
        <v>370600</v>
      </c>
      <c r="F234" s="14">
        <f>D234/C234</f>
        <v>1</v>
      </c>
      <c r="G234" s="14">
        <f t="shared" si="23"/>
        <v>0.38604166666666667</v>
      </c>
    </row>
    <row r="235" spans="1:7" ht="27" customHeight="1" outlineLevel="3" x14ac:dyDescent="0.25">
      <c r="A235" s="10" t="s">
        <v>26</v>
      </c>
      <c r="B235" s="11">
        <v>31274</v>
      </c>
      <c r="C235" s="11">
        <v>7800</v>
      </c>
      <c r="D235" s="11">
        <v>4124.03</v>
      </c>
      <c r="E235" s="11">
        <v>4124.03</v>
      </c>
      <c r="F235" s="14">
        <f>D235/C235</f>
        <v>0.52872179487179483</v>
      </c>
      <c r="G235" s="14">
        <f t="shared" si="23"/>
        <v>0.1318676856174458</v>
      </c>
    </row>
    <row r="236" spans="1:7" ht="24" customHeight="1" outlineLevel="3" x14ac:dyDescent="0.25">
      <c r="A236" s="10" t="s">
        <v>16</v>
      </c>
      <c r="B236" s="11">
        <v>3000</v>
      </c>
      <c r="C236" s="12"/>
      <c r="D236" s="12"/>
      <c r="E236" s="12"/>
      <c r="F236" s="14">
        <v>0</v>
      </c>
      <c r="G236" s="14">
        <f t="shared" si="23"/>
        <v>0</v>
      </c>
    </row>
    <row r="237" spans="1:7" ht="35.25" customHeight="1" outlineLevel="1" x14ac:dyDescent="0.25">
      <c r="A237" s="28" t="s">
        <v>69</v>
      </c>
      <c r="B237" s="22">
        <v>610239300</v>
      </c>
      <c r="C237" s="22">
        <v>209982607</v>
      </c>
      <c r="D237" s="22">
        <v>209982607</v>
      </c>
      <c r="E237" s="22">
        <v>209895364</v>
      </c>
      <c r="F237" s="23">
        <f t="shared" ref="F237:F268" si="24">D237/C237</f>
        <v>1</v>
      </c>
      <c r="G237" s="23">
        <f t="shared" si="23"/>
        <v>0.34409879370273266</v>
      </c>
    </row>
    <row r="238" spans="1:7" s="78" customFormat="1" ht="24" customHeight="1" outlineLevel="2" x14ac:dyDescent="0.25">
      <c r="A238" s="8" t="s">
        <v>107</v>
      </c>
      <c r="B238" s="9">
        <v>179080</v>
      </c>
      <c r="C238" s="9">
        <v>179080</v>
      </c>
      <c r="D238" s="9">
        <v>179080</v>
      </c>
      <c r="E238" s="9">
        <v>179080</v>
      </c>
      <c r="F238" s="16">
        <f t="shared" si="24"/>
        <v>1</v>
      </c>
      <c r="G238" s="16">
        <f t="shared" si="23"/>
        <v>1</v>
      </c>
    </row>
    <row r="239" spans="1:7" ht="24.75" customHeight="1" outlineLevel="3" x14ac:dyDescent="0.25">
      <c r="A239" s="10" t="s">
        <v>37</v>
      </c>
      <c r="B239" s="11">
        <v>179080</v>
      </c>
      <c r="C239" s="11">
        <v>179080</v>
      </c>
      <c r="D239" s="11">
        <v>179080</v>
      </c>
      <c r="E239" s="11">
        <v>179080</v>
      </c>
      <c r="F239" s="14">
        <f t="shared" si="24"/>
        <v>1</v>
      </c>
      <c r="G239" s="14">
        <f t="shared" si="23"/>
        <v>1</v>
      </c>
    </row>
    <row r="240" spans="1:7" s="78" customFormat="1" ht="15" customHeight="1" outlineLevel="2" x14ac:dyDescent="0.25">
      <c r="A240" s="8" t="s">
        <v>108</v>
      </c>
      <c r="B240" s="9">
        <v>68728</v>
      </c>
      <c r="C240" s="9">
        <v>68728</v>
      </c>
      <c r="D240" s="9">
        <v>68728</v>
      </c>
      <c r="E240" s="9">
        <v>68728</v>
      </c>
      <c r="F240" s="16">
        <f t="shared" si="24"/>
        <v>1</v>
      </c>
      <c r="G240" s="16">
        <f t="shared" si="23"/>
        <v>1</v>
      </c>
    </row>
    <row r="241" spans="1:7" ht="27" customHeight="1" outlineLevel="3" x14ac:dyDescent="0.25">
      <c r="A241" s="10" t="s">
        <v>37</v>
      </c>
      <c r="B241" s="11">
        <v>68728</v>
      </c>
      <c r="C241" s="11">
        <v>68728</v>
      </c>
      <c r="D241" s="11">
        <v>68728</v>
      </c>
      <c r="E241" s="11">
        <v>68728</v>
      </c>
      <c r="F241" s="14">
        <f t="shared" si="24"/>
        <v>1</v>
      </c>
      <c r="G241" s="14">
        <f t="shared" si="23"/>
        <v>1</v>
      </c>
    </row>
    <row r="242" spans="1:7" s="78" customFormat="1" ht="23.25" customHeight="1" outlineLevel="2" x14ac:dyDescent="0.25">
      <c r="A242" s="8" t="s">
        <v>109</v>
      </c>
      <c r="B242" s="9">
        <v>139392</v>
      </c>
      <c r="C242" s="9">
        <v>139392</v>
      </c>
      <c r="D242" s="9">
        <v>139392</v>
      </c>
      <c r="E242" s="9">
        <v>139392</v>
      </c>
      <c r="F242" s="16">
        <f t="shared" si="24"/>
        <v>1</v>
      </c>
      <c r="G242" s="16">
        <f t="shared" si="23"/>
        <v>1</v>
      </c>
    </row>
    <row r="243" spans="1:7" ht="28.5" customHeight="1" outlineLevel="3" x14ac:dyDescent="0.25">
      <c r="A243" s="10" t="s">
        <v>37</v>
      </c>
      <c r="B243" s="11">
        <v>139392</v>
      </c>
      <c r="C243" s="11">
        <v>139392</v>
      </c>
      <c r="D243" s="11">
        <v>139392</v>
      </c>
      <c r="E243" s="11">
        <v>139392</v>
      </c>
      <c r="F243" s="14">
        <f t="shared" si="24"/>
        <v>1</v>
      </c>
      <c r="G243" s="14">
        <f t="shared" si="23"/>
        <v>1</v>
      </c>
    </row>
    <row r="244" spans="1:7" s="78" customFormat="1" ht="26.25" customHeight="1" outlineLevel="2" x14ac:dyDescent="0.25">
      <c r="A244" s="8" t="s">
        <v>110</v>
      </c>
      <c r="B244" s="9">
        <v>114224</v>
      </c>
      <c r="C244" s="9">
        <v>114224</v>
      </c>
      <c r="D244" s="9">
        <v>114224</v>
      </c>
      <c r="E244" s="9">
        <v>114224</v>
      </c>
      <c r="F244" s="16">
        <f t="shared" si="24"/>
        <v>1</v>
      </c>
      <c r="G244" s="16">
        <f t="shared" si="23"/>
        <v>1</v>
      </c>
    </row>
    <row r="245" spans="1:7" ht="25.5" customHeight="1" outlineLevel="3" x14ac:dyDescent="0.25">
      <c r="A245" s="10" t="s">
        <v>37</v>
      </c>
      <c r="B245" s="11">
        <v>114224</v>
      </c>
      <c r="C245" s="11">
        <v>114224</v>
      </c>
      <c r="D245" s="11">
        <v>114224</v>
      </c>
      <c r="E245" s="11">
        <v>114224</v>
      </c>
      <c r="F245" s="14">
        <f t="shared" si="24"/>
        <v>1</v>
      </c>
      <c r="G245" s="14">
        <f t="shared" si="23"/>
        <v>1</v>
      </c>
    </row>
    <row r="246" spans="1:7" s="78" customFormat="1" ht="25.5" customHeight="1" outlineLevel="2" x14ac:dyDescent="0.25">
      <c r="A246" s="8" t="s">
        <v>111</v>
      </c>
      <c r="B246" s="9">
        <v>1255482</v>
      </c>
      <c r="C246" s="9">
        <v>1255482</v>
      </c>
      <c r="D246" s="9">
        <v>1255482</v>
      </c>
      <c r="E246" s="9">
        <v>1255482</v>
      </c>
      <c r="F246" s="16">
        <f t="shared" si="24"/>
        <v>1</v>
      </c>
      <c r="G246" s="16">
        <f t="shared" si="23"/>
        <v>1</v>
      </c>
    </row>
    <row r="247" spans="1:7" ht="25.5" customHeight="1" outlineLevel="3" x14ac:dyDescent="0.25">
      <c r="A247" s="10" t="s">
        <v>37</v>
      </c>
      <c r="B247" s="11">
        <v>1255482</v>
      </c>
      <c r="C247" s="11">
        <v>1255482</v>
      </c>
      <c r="D247" s="11">
        <v>1255482</v>
      </c>
      <c r="E247" s="11">
        <v>1255482</v>
      </c>
      <c r="F247" s="14">
        <f t="shared" si="24"/>
        <v>1</v>
      </c>
      <c r="G247" s="14">
        <f t="shared" si="23"/>
        <v>1</v>
      </c>
    </row>
    <row r="248" spans="1:7" s="78" customFormat="1" ht="25.5" customHeight="1" outlineLevel="2" x14ac:dyDescent="0.25">
      <c r="A248" s="8" t="s">
        <v>112</v>
      </c>
      <c r="B248" s="9">
        <v>4673692</v>
      </c>
      <c r="C248" s="9">
        <v>4673692</v>
      </c>
      <c r="D248" s="9">
        <v>4673692</v>
      </c>
      <c r="E248" s="9">
        <v>4673692</v>
      </c>
      <c r="F248" s="16">
        <f t="shared" si="24"/>
        <v>1</v>
      </c>
      <c r="G248" s="16">
        <f t="shared" si="23"/>
        <v>1</v>
      </c>
    </row>
    <row r="249" spans="1:7" ht="25.5" customHeight="1" outlineLevel="3" x14ac:dyDescent="0.25">
      <c r="A249" s="10" t="s">
        <v>37</v>
      </c>
      <c r="B249" s="11">
        <v>4673692</v>
      </c>
      <c r="C249" s="11">
        <v>4673692</v>
      </c>
      <c r="D249" s="11">
        <v>4673692</v>
      </c>
      <c r="E249" s="11">
        <v>4673692</v>
      </c>
      <c r="F249" s="14">
        <f t="shared" si="24"/>
        <v>1</v>
      </c>
      <c r="G249" s="14">
        <f t="shared" si="23"/>
        <v>1</v>
      </c>
    </row>
    <row r="250" spans="1:7" s="78" customFormat="1" ht="30" customHeight="1" outlineLevel="2" x14ac:dyDescent="0.25">
      <c r="A250" s="8" t="s">
        <v>28</v>
      </c>
      <c r="B250" s="9">
        <v>23074964</v>
      </c>
      <c r="C250" s="9">
        <v>7849230</v>
      </c>
      <c r="D250" s="9">
        <v>7849230</v>
      </c>
      <c r="E250" s="9">
        <v>7849230</v>
      </c>
      <c r="F250" s="16">
        <f t="shared" si="24"/>
        <v>1</v>
      </c>
      <c r="G250" s="16">
        <f t="shared" si="23"/>
        <v>0.34016217750112199</v>
      </c>
    </row>
    <row r="251" spans="1:7" ht="15" customHeight="1" outlineLevel="3" x14ac:dyDescent="0.25">
      <c r="A251" s="10" t="s">
        <v>9</v>
      </c>
      <c r="B251" s="11">
        <v>18913905</v>
      </c>
      <c r="C251" s="11">
        <v>6433795</v>
      </c>
      <c r="D251" s="11">
        <v>6433795</v>
      </c>
      <c r="E251" s="11">
        <v>6433795</v>
      </c>
      <c r="F251" s="14">
        <f t="shared" si="24"/>
        <v>1</v>
      </c>
      <c r="G251" s="14">
        <f t="shared" si="23"/>
        <v>0.34016217169325952</v>
      </c>
    </row>
    <row r="252" spans="1:7" ht="15" customHeight="1" outlineLevel="3" x14ac:dyDescent="0.25">
      <c r="A252" s="10" t="s">
        <v>10</v>
      </c>
      <c r="B252" s="11">
        <v>4161059</v>
      </c>
      <c r="C252" s="11">
        <v>1415435</v>
      </c>
      <c r="D252" s="11">
        <v>1415435</v>
      </c>
      <c r="E252" s="11">
        <v>1415435</v>
      </c>
      <c r="F252" s="14">
        <f t="shared" si="24"/>
        <v>1</v>
      </c>
      <c r="G252" s="14">
        <f t="shared" si="23"/>
        <v>0.34016220390049745</v>
      </c>
    </row>
    <row r="253" spans="1:7" s="78" customFormat="1" ht="26.25" customHeight="1" outlineLevel="2" x14ac:dyDescent="0.25">
      <c r="A253" s="8" t="s">
        <v>115</v>
      </c>
      <c r="B253" s="9">
        <v>180048</v>
      </c>
      <c r="C253" s="9">
        <v>180048</v>
      </c>
      <c r="D253" s="9">
        <v>180048</v>
      </c>
      <c r="E253" s="9">
        <v>180048</v>
      </c>
      <c r="F253" s="16">
        <f t="shared" si="24"/>
        <v>1</v>
      </c>
      <c r="G253" s="16">
        <f t="shared" si="23"/>
        <v>1</v>
      </c>
    </row>
    <row r="254" spans="1:7" ht="26.25" customHeight="1" outlineLevel="3" x14ac:dyDescent="0.25">
      <c r="A254" s="10" t="s">
        <v>37</v>
      </c>
      <c r="B254" s="11">
        <v>180048</v>
      </c>
      <c r="C254" s="11">
        <v>180048</v>
      </c>
      <c r="D254" s="11">
        <v>180048</v>
      </c>
      <c r="E254" s="11">
        <v>180048</v>
      </c>
      <c r="F254" s="14">
        <f t="shared" si="24"/>
        <v>1</v>
      </c>
      <c r="G254" s="14">
        <f t="shared" si="23"/>
        <v>1</v>
      </c>
    </row>
    <row r="255" spans="1:7" s="78" customFormat="1" ht="15" customHeight="1" outlineLevel="2" x14ac:dyDescent="0.25">
      <c r="A255" s="8" t="s">
        <v>33</v>
      </c>
      <c r="B255" s="9">
        <v>28492178</v>
      </c>
      <c r="C255" s="9">
        <v>9691961</v>
      </c>
      <c r="D255" s="9">
        <v>9691961</v>
      </c>
      <c r="E255" s="9">
        <v>9691961</v>
      </c>
      <c r="F255" s="16">
        <f t="shared" si="24"/>
        <v>1</v>
      </c>
      <c r="G255" s="16">
        <f t="shared" si="23"/>
        <v>0.34016216661288584</v>
      </c>
    </row>
    <row r="256" spans="1:7" ht="15" customHeight="1" outlineLevel="3" x14ac:dyDescent="0.25">
      <c r="A256" s="10" t="s">
        <v>9</v>
      </c>
      <c r="B256" s="11">
        <v>23354244</v>
      </c>
      <c r="C256" s="11">
        <v>7944230</v>
      </c>
      <c r="D256" s="11">
        <v>7944230</v>
      </c>
      <c r="E256" s="11">
        <v>7944230</v>
      </c>
      <c r="F256" s="14">
        <f t="shared" si="24"/>
        <v>1</v>
      </c>
      <c r="G256" s="14">
        <f t="shared" si="23"/>
        <v>0.34016215639435815</v>
      </c>
    </row>
    <row r="257" spans="1:7" ht="15" customHeight="1" outlineLevel="3" x14ac:dyDescent="0.25">
      <c r="A257" s="10" t="s">
        <v>10</v>
      </c>
      <c r="B257" s="11">
        <v>5137934</v>
      </c>
      <c r="C257" s="11">
        <v>1747731</v>
      </c>
      <c r="D257" s="11">
        <v>1747731</v>
      </c>
      <c r="E257" s="11">
        <v>1747731</v>
      </c>
      <c r="F257" s="14">
        <f t="shared" si="24"/>
        <v>1</v>
      </c>
      <c r="G257" s="14">
        <f t="shared" si="23"/>
        <v>0.34016221306073607</v>
      </c>
    </row>
    <row r="258" spans="1:7" s="78" customFormat="1" ht="15" customHeight="1" outlineLevel="2" x14ac:dyDescent="0.25">
      <c r="A258" s="8" t="s">
        <v>30</v>
      </c>
      <c r="B258" s="9">
        <v>26498057</v>
      </c>
      <c r="C258" s="9">
        <v>9013636</v>
      </c>
      <c r="D258" s="9">
        <v>9013636</v>
      </c>
      <c r="E258" s="9">
        <v>9013636</v>
      </c>
      <c r="F258" s="16">
        <f t="shared" si="24"/>
        <v>1</v>
      </c>
      <c r="G258" s="16">
        <f t="shared" si="23"/>
        <v>0.34016214849262344</v>
      </c>
    </row>
    <row r="259" spans="1:7" ht="15" customHeight="1" outlineLevel="3" x14ac:dyDescent="0.25">
      <c r="A259" s="10" t="s">
        <v>9</v>
      </c>
      <c r="B259" s="11">
        <v>21719719</v>
      </c>
      <c r="C259" s="11">
        <v>7388226</v>
      </c>
      <c r="D259" s="11">
        <v>7388226</v>
      </c>
      <c r="E259" s="11">
        <v>7388226</v>
      </c>
      <c r="F259" s="14">
        <f t="shared" si="24"/>
        <v>1</v>
      </c>
      <c r="G259" s="14">
        <f t="shared" si="23"/>
        <v>0.34016213561510628</v>
      </c>
    </row>
    <row r="260" spans="1:7" ht="15" customHeight="1" outlineLevel="3" x14ac:dyDescent="0.25">
      <c r="A260" s="10" t="s">
        <v>10</v>
      </c>
      <c r="B260" s="11">
        <v>4778338</v>
      </c>
      <c r="C260" s="11">
        <v>1625410</v>
      </c>
      <c r="D260" s="11">
        <v>1625410</v>
      </c>
      <c r="E260" s="11">
        <v>1625410</v>
      </c>
      <c r="F260" s="14">
        <f t="shared" si="24"/>
        <v>1</v>
      </c>
      <c r="G260" s="14">
        <f t="shared" si="23"/>
        <v>0.34016220702679467</v>
      </c>
    </row>
    <row r="261" spans="1:7" s="78" customFormat="1" ht="28.5" customHeight="1" outlineLevel="2" x14ac:dyDescent="0.25">
      <c r="A261" s="8" t="s">
        <v>35</v>
      </c>
      <c r="B261" s="9">
        <v>17429279</v>
      </c>
      <c r="C261" s="9">
        <v>5928782</v>
      </c>
      <c r="D261" s="9">
        <v>5928782</v>
      </c>
      <c r="E261" s="9">
        <v>5928782</v>
      </c>
      <c r="F261" s="16">
        <f t="shared" si="24"/>
        <v>1</v>
      </c>
      <c r="G261" s="16">
        <f t="shared" si="23"/>
        <v>0.34016220636550715</v>
      </c>
    </row>
    <row r="262" spans="1:7" ht="15" customHeight="1" outlineLevel="3" x14ac:dyDescent="0.25">
      <c r="A262" s="10" t="s">
        <v>9</v>
      </c>
      <c r="B262" s="11">
        <v>14286294</v>
      </c>
      <c r="C262" s="11">
        <v>4859657</v>
      </c>
      <c r="D262" s="11">
        <v>4859657</v>
      </c>
      <c r="E262" s="11">
        <v>4859657</v>
      </c>
      <c r="F262" s="14">
        <f t="shared" si="24"/>
        <v>1</v>
      </c>
      <c r="G262" s="14">
        <f t="shared" si="23"/>
        <v>0.34016218621848326</v>
      </c>
    </row>
    <row r="263" spans="1:7" ht="15" customHeight="1" outlineLevel="3" x14ac:dyDescent="0.25">
      <c r="A263" s="10" t="s">
        <v>10</v>
      </c>
      <c r="B263" s="11">
        <v>3142985</v>
      </c>
      <c r="C263" s="11">
        <v>1069125</v>
      </c>
      <c r="D263" s="11">
        <v>1069125</v>
      </c>
      <c r="E263" s="11">
        <v>1069125</v>
      </c>
      <c r="F263" s="14">
        <f t="shared" si="24"/>
        <v>1</v>
      </c>
      <c r="G263" s="14">
        <f t="shared" si="23"/>
        <v>0.34016229794287917</v>
      </c>
    </row>
    <row r="264" spans="1:7" s="78" customFormat="1" ht="26.25" customHeight="1" outlineLevel="2" x14ac:dyDescent="0.25">
      <c r="A264" s="8" t="s">
        <v>23</v>
      </c>
      <c r="B264" s="9">
        <v>507210227</v>
      </c>
      <c r="C264" s="9">
        <v>169964403</v>
      </c>
      <c r="D264" s="9">
        <v>169964403</v>
      </c>
      <c r="E264" s="9">
        <v>169877160</v>
      </c>
      <c r="F264" s="16">
        <f t="shared" si="24"/>
        <v>1</v>
      </c>
      <c r="G264" s="16">
        <f t="shared" si="23"/>
        <v>0.33509656145005134</v>
      </c>
    </row>
    <row r="265" spans="1:7" ht="16.5" customHeight="1" outlineLevel="3" x14ac:dyDescent="0.25">
      <c r="A265" s="10" t="s">
        <v>9</v>
      </c>
      <c r="B265" s="11">
        <v>407951336</v>
      </c>
      <c r="C265" s="11">
        <v>139243575</v>
      </c>
      <c r="D265" s="11">
        <v>139243575</v>
      </c>
      <c r="E265" s="11">
        <v>139243575</v>
      </c>
      <c r="F265" s="14">
        <f t="shared" si="24"/>
        <v>1</v>
      </c>
      <c r="G265" s="14">
        <f t="shared" si="23"/>
        <v>0.34132398330961711</v>
      </c>
    </row>
    <row r="266" spans="1:7" ht="16.5" customHeight="1" outlineLevel="3" x14ac:dyDescent="0.25">
      <c r="A266" s="10" t="s">
        <v>10</v>
      </c>
      <c r="B266" s="11">
        <v>89749293</v>
      </c>
      <c r="C266" s="11">
        <v>30633585</v>
      </c>
      <c r="D266" s="11">
        <v>30633585</v>
      </c>
      <c r="E266" s="11">
        <v>30633585</v>
      </c>
      <c r="F266" s="14">
        <f t="shared" si="24"/>
        <v>1</v>
      </c>
      <c r="G266" s="14">
        <f t="shared" si="23"/>
        <v>0.34132397009522963</v>
      </c>
    </row>
    <row r="267" spans="1:7" ht="27" customHeight="1" outlineLevel="3" x14ac:dyDescent="0.25">
      <c r="A267" s="10" t="s">
        <v>37</v>
      </c>
      <c r="B267" s="11">
        <v>9509598</v>
      </c>
      <c r="C267" s="11">
        <v>87243</v>
      </c>
      <c r="D267" s="11">
        <v>87243</v>
      </c>
      <c r="E267" s="12"/>
      <c r="F267" s="14">
        <f t="shared" si="24"/>
        <v>1</v>
      </c>
      <c r="G267" s="14">
        <f t="shared" si="23"/>
        <v>9.1742048402046021E-3</v>
      </c>
    </row>
    <row r="268" spans="1:7" s="78" customFormat="1" ht="29.25" customHeight="1" outlineLevel="2" x14ac:dyDescent="0.25">
      <c r="A268" s="8" t="s">
        <v>113</v>
      </c>
      <c r="B268" s="9">
        <v>621648</v>
      </c>
      <c r="C268" s="9">
        <v>621648</v>
      </c>
      <c r="D268" s="9">
        <v>621648</v>
      </c>
      <c r="E268" s="9">
        <v>621648</v>
      </c>
      <c r="F268" s="16">
        <f t="shared" si="24"/>
        <v>1</v>
      </c>
      <c r="G268" s="16">
        <f t="shared" si="23"/>
        <v>1</v>
      </c>
    </row>
    <row r="269" spans="1:7" ht="29.25" customHeight="1" outlineLevel="3" x14ac:dyDescent="0.25">
      <c r="A269" s="10" t="s">
        <v>37</v>
      </c>
      <c r="B269" s="11">
        <v>621648</v>
      </c>
      <c r="C269" s="11">
        <v>621648</v>
      </c>
      <c r="D269" s="11">
        <v>621648</v>
      </c>
      <c r="E269" s="11">
        <v>621648</v>
      </c>
      <c r="F269" s="14">
        <f t="shared" ref="F269:F295" si="25">D269/C269</f>
        <v>1</v>
      </c>
      <c r="G269" s="14">
        <f t="shared" si="23"/>
        <v>1</v>
      </c>
    </row>
    <row r="270" spans="1:7" s="78" customFormat="1" ht="17.25" customHeight="1" outlineLevel="2" x14ac:dyDescent="0.25">
      <c r="A270" s="8" t="s">
        <v>114</v>
      </c>
      <c r="B270" s="9">
        <v>302301</v>
      </c>
      <c r="C270" s="9">
        <v>302301</v>
      </c>
      <c r="D270" s="9">
        <v>302301</v>
      </c>
      <c r="E270" s="9">
        <v>302301</v>
      </c>
      <c r="F270" s="16">
        <f t="shared" si="25"/>
        <v>1</v>
      </c>
      <c r="G270" s="16">
        <f t="shared" si="23"/>
        <v>1</v>
      </c>
    </row>
    <row r="271" spans="1:7" ht="26.25" customHeight="1" outlineLevel="3" x14ac:dyDescent="0.25">
      <c r="A271" s="10" t="s">
        <v>37</v>
      </c>
      <c r="B271" s="11">
        <v>302301</v>
      </c>
      <c r="C271" s="11">
        <v>302301</v>
      </c>
      <c r="D271" s="11">
        <v>302301</v>
      </c>
      <c r="E271" s="11">
        <v>302301</v>
      </c>
      <c r="F271" s="14">
        <f t="shared" si="25"/>
        <v>1</v>
      </c>
      <c r="G271" s="14">
        <f t="shared" si="23"/>
        <v>1</v>
      </c>
    </row>
    <row r="272" spans="1:7" ht="66.75" customHeight="1" outlineLevel="1" x14ac:dyDescent="0.25">
      <c r="A272" s="28" t="s">
        <v>70</v>
      </c>
      <c r="B272" s="22">
        <v>33481509</v>
      </c>
      <c r="C272" s="22">
        <v>11421780</v>
      </c>
      <c r="D272" s="22">
        <v>11421780</v>
      </c>
      <c r="E272" s="22">
        <v>11421780</v>
      </c>
      <c r="F272" s="23">
        <f t="shared" si="25"/>
        <v>1</v>
      </c>
      <c r="G272" s="23">
        <f t="shared" si="23"/>
        <v>0.34113695413190609</v>
      </c>
    </row>
    <row r="273" spans="1:7" s="78" customFormat="1" ht="27.75" customHeight="1" outlineLevel="2" x14ac:dyDescent="0.25">
      <c r="A273" s="8" t="s">
        <v>23</v>
      </c>
      <c r="B273" s="9">
        <v>33481509</v>
      </c>
      <c r="C273" s="9">
        <v>11421780</v>
      </c>
      <c r="D273" s="9">
        <v>11421780</v>
      </c>
      <c r="E273" s="9">
        <v>11421780</v>
      </c>
      <c r="F273" s="16">
        <f t="shared" si="25"/>
        <v>1</v>
      </c>
      <c r="G273" s="16">
        <f t="shared" si="23"/>
        <v>0.34113695413190609</v>
      </c>
    </row>
    <row r="274" spans="1:7" ht="15" customHeight="1" outlineLevel="3" x14ac:dyDescent="0.25">
      <c r="A274" s="10" t="s">
        <v>9</v>
      </c>
      <c r="B274" s="11">
        <v>27443860</v>
      </c>
      <c r="C274" s="11">
        <v>9362115</v>
      </c>
      <c r="D274" s="11">
        <v>9362115</v>
      </c>
      <c r="E274" s="11">
        <v>9362115</v>
      </c>
      <c r="F274" s="14">
        <f t="shared" si="25"/>
        <v>1</v>
      </c>
      <c r="G274" s="14">
        <f t="shared" si="23"/>
        <v>0.34113696105431235</v>
      </c>
    </row>
    <row r="275" spans="1:7" ht="15" customHeight="1" outlineLevel="3" x14ac:dyDescent="0.25">
      <c r="A275" s="10" t="s">
        <v>10</v>
      </c>
      <c r="B275" s="11">
        <v>6037649</v>
      </c>
      <c r="C275" s="11">
        <v>2059665</v>
      </c>
      <c r="D275" s="11">
        <v>2059665</v>
      </c>
      <c r="E275" s="11">
        <v>2059665</v>
      </c>
      <c r="F275" s="14">
        <f t="shared" si="25"/>
        <v>1</v>
      </c>
      <c r="G275" s="14">
        <f t="shared" si="23"/>
        <v>0.34113692266642198</v>
      </c>
    </row>
    <row r="276" spans="1:7" ht="26.1" customHeight="1" outlineLevel="1" x14ac:dyDescent="0.25">
      <c r="A276" s="28" t="s">
        <v>71</v>
      </c>
      <c r="B276" s="22">
        <v>17087832</v>
      </c>
      <c r="C276" s="22">
        <f>C277+C280</f>
        <v>5829291</v>
      </c>
      <c r="D276" s="22">
        <v>5829291</v>
      </c>
      <c r="E276" s="22">
        <v>5829291</v>
      </c>
      <c r="F276" s="23">
        <f t="shared" si="25"/>
        <v>1</v>
      </c>
      <c r="G276" s="23">
        <f t="shared" si="23"/>
        <v>0.34113695640266128</v>
      </c>
    </row>
    <row r="277" spans="1:7" s="78" customFormat="1" ht="23.25" customHeight="1" outlineLevel="2" x14ac:dyDescent="0.25">
      <c r="A277" s="8" t="s">
        <v>23</v>
      </c>
      <c r="B277" s="9">
        <v>10746245</v>
      </c>
      <c r="C277" s="9">
        <f>C278+C279</f>
        <v>3666041</v>
      </c>
      <c r="D277" s="9">
        <v>3666041</v>
      </c>
      <c r="E277" s="9">
        <v>3666041</v>
      </c>
      <c r="F277" s="16">
        <f t="shared" si="25"/>
        <v>1</v>
      </c>
      <c r="G277" s="16">
        <f t="shared" si="23"/>
        <v>0.34114623293997115</v>
      </c>
    </row>
    <row r="278" spans="1:7" ht="15" customHeight="1" outlineLevel="3" x14ac:dyDescent="0.25">
      <c r="A278" s="10" t="s">
        <v>9</v>
      </c>
      <c r="B278" s="11">
        <v>8808397</v>
      </c>
      <c r="C278" s="11">
        <f>4778107-C281</f>
        <v>3004951</v>
      </c>
      <c r="D278" s="11">
        <v>3004951</v>
      </c>
      <c r="E278" s="11">
        <v>3004951</v>
      </c>
      <c r="F278" s="14">
        <f t="shared" si="25"/>
        <v>1</v>
      </c>
      <c r="G278" s="14">
        <f t="shared" si="23"/>
        <v>0.34114618130858543</v>
      </c>
    </row>
    <row r="279" spans="1:7" ht="15" customHeight="1" outlineLevel="3" x14ac:dyDescent="0.25">
      <c r="A279" s="10" t="s">
        <v>10</v>
      </c>
      <c r="B279" s="11">
        <v>1937848</v>
      </c>
      <c r="C279" s="11">
        <f>1051184-C282</f>
        <v>661090</v>
      </c>
      <c r="D279" s="11">
        <v>661090</v>
      </c>
      <c r="E279" s="11">
        <v>661090</v>
      </c>
      <c r="F279" s="14">
        <f t="shared" si="25"/>
        <v>1</v>
      </c>
      <c r="G279" s="14">
        <f t="shared" si="23"/>
        <v>0.34114646762800799</v>
      </c>
    </row>
    <row r="280" spans="1:7" s="78" customFormat="1" ht="23.25" customHeight="1" outlineLevel="2" x14ac:dyDescent="0.25">
      <c r="A280" s="8" t="s">
        <v>36</v>
      </c>
      <c r="B280" s="9">
        <v>6341587</v>
      </c>
      <c r="C280" s="9">
        <v>2163250</v>
      </c>
      <c r="D280" s="9">
        <v>2163250</v>
      </c>
      <c r="E280" s="9">
        <v>2163250</v>
      </c>
      <c r="F280" s="16">
        <f t="shared" si="25"/>
        <v>1</v>
      </c>
      <c r="G280" s="16">
        <f t="shared" si="23"/>
        <v>0.3411212366872835</v>
      </c>
    </row>
    <row r="281" spans="1:7" ht="15.75" customHeight="1" outlineLevel="3" x14ac:dyDescent="0.25">
      <c r="A281" s="10" t="s">
        <v>9</v>
      </c>
      <c r="B281" s="11">
        <v>5198023</v>
      </c>
      <c r="C281" s="11">
        <v>1773156</v>
      </c>
      <c r="D281" s="11">
        <v>1773156</v>
      </c>
      <c r="E281" s="11">
        <v>1773156</v>
      </c>
      <c r="F281" s="14">
        <f t="shared" si="25"/>
        <v>1</v>
      </c>
      <c r="G281" s="14">
        <f t="shared" si="23"/>
        <v>0.34112123012922413</v>
      </c>
    </row>
    <row r="282" spans="1:7" ht="15.75" customHeight="1" outlineLevel="3" x14ac:dyDescent="0.25">
      <c r="A282" s="10" t="s">
        <v>10</v>
      </c>
      <c r="B282" s="11">
        <v>1143564</v>
      </c>
      <c r="C282" s="11">
        <v>390094</v>
      </c>
      <c r="D282" s="11">
        <v>390094</v>
      </c>
      <c r="E282" s="11">
        <v>390094</v>
      </c>
      <c r="F282" s="14">
        <f t="shared" si="25"/>
        <v>1</v>
      </c>
      <c r="G282" s="14">
        <f t="shared" si="23"/>
        <v>0.34112126649667179</v>
      </c>
    </row>
    <row r="283" spans="1:7" ht="30.75" customHeight="1" outlineLevel="1" x14ac:dyDescent="0.25">
      <c r="A283" s="28" t="s">
        <v>72</v>
      </c>
      <c r="B283" s="22">
        <v>124761433</v>
      </c>
      <c r="C283" s="22">
        <f>C284+C287+C297+C300+C310</f>
        <v>29093455</v>
      </c>
      <c r="D283" s="22">
        <v>25072739.690000001</v>
      </c>
      <c r="E283" s="22">
        <v>25029722.690000001</v>
      </c>
      <c r="F283" s="23">
        <f t="shared" si="25"/>
        <v>0.86180000587761063</v>
      </c>
      <c r="G283" s="23">
        <f t="shared" si="23"/>
        <v>0.20096546734919277</v>
      </c>
    </row>
    <row r="284" spans="1:7" s="78" customFormat="1" ht="27" customHeight="1" outlineLevel="2" x14ac:dyDescent="0.25">
      <c r="A284" s="8" t="s">
        <v>28</v>
      </c>
      <c r="B284" s="9">
        <v>7002312</v>
      </c>
      <c r="C284" s="9">
        <v>1720200</v>
      </c>
      <c r="D284" s="9">
        <v>1691004.55</v>
      </c>
      <c r="E284" s="9">
        <v>1691004.55</v>
      </c>
      <c r="F284" s="16">
        <f t="shared" si="25"/>
        <v>0.9830278746657366</v>
      </c>
      <c r="G284" s="16">
        <f t="shared" ref="G284:G347" si="26">D284/B284</f>
        <v>0.24149231710897773</v>
      </c>
    </row>
    <row r="285" spans="1:7" ht="12.75" customHeight="1" outlineLevel="3" x14ac:dyDescent="0.25">
      <c r="A285" s="10" t="s">
        <v>9</v>
      </c>
      <c r="B285" s="11">
        <v>5739600</v>
      </c>
      <c r="C285" s="11">
        <v>1410000</v>
      </c>
      <c r="D285" s="11">
        <v>1389967.19</v>
      </c>
      <c r="E285" s="11">
        <v>1389967.19</v>
      </c>
      <c r="F285" s="14">
        <f t="shared" si="25"/>
        <v>0.98579233333333327</v>
      </c>
      <c r="G285" s="14">
        <f t="shared" si="26"/>
        <v>0.24217143877622133</v>
      </c>
    </row>
    <row r="286" spans="1:7" ht="12.75" customHeight="1" outlineLevel="3" x14ac:dyDescent="0.25">
      <c r="A286" s="10" t="s">
        <v>10</v>
      </c>
      <c r="B286" s="11">
        <v>1262712</v>
      </c>
      <c r="C286" s="11">
        <v>310200</v>
      </c>
      <c r="D286" s="11">
        <v>301037.36</v>
      </c>
      <c r="E286" s="11">
        <v>301037.36</v>
      </c>
      <c r="F286" s="14">
        <f t="shared" si="25"/>
        <v>0.97046215344938747</v>
      </c>
      <c r="G286" s="14">
        <f t="shared" si="26"/>
        <v>0.23840540043968853</v>
      </c>
    </row>
    <row r="287" spans="1:7" s="78" customFormat="1" ht="14.25" customHeight="1" outlineLevel="2" x14ac:dyDescent="0.25">
      <c r="A287" s="8" t="s">
        <v>38</v>
      </c>
      <c r="B287" s="9">
        <v>19898733</v>
      </c>
      <c r="C287" s="9">
        <v>4478024</v>
      </c>
      <c r="D287" s="9">
        <v>3934639.18</v>
      </c>
      <c r="E287" s="9">
        <v>3891622.18</v>
      </c>
      <c r="F287" s="16">
        <f t="shared" si="25"/>
        <v>0.87865522382193584</v>
      </c>
      <c r="G287" s="16">
        <f t="shared" si="26"/>
        <v>0.1977331511508798</v>
      </c>
    </row>
    <row r="288" spans="1:7" ht="15.75" customHeight="1" outlineLevel="3" x14ac:dyDescent="0.25">
      <c r="A288" s="10" t="s">
        <v>9</v>
      </c>
      <c r="B288" s="11">
        <v>11768700</v>
      </c>
      <c r="C288" s="11">
        <v>2700000</v>
      </c>
      <c r="D288" s="11">
        <v>2658310.1800000002</v>
      </c>
      <c r="E288" s="11">
        <v>2658310.1800000002</v>
      </c>
      <c r="F288" s="14">
        <f t="shared" si="25"/>
        <v>0.98455932592592599</v>
      </c>
      <c r="G288" s="14">
        <f t="shared" si="26"/>
        <v>0.22587967914892895</v>
      </c>
    </row>
    <row r="289" spans="1:7" ht="15.75" customHeight="1" outlineLevel="3" x14ac:dyDescent="0.25">
      <c r="A289" s="10" t="s">
        <v>10</v>
      </c>
      <c r="B289" s="11">
        <v>2589114</v>
      </c>
      <c r="C289" s="11">
        <v>594000</v>
      </c>
      <c r="D289" s="11">
        <v>590190.04</v>
      </c>
      <c r="E289" s="11">
        <v>590190.04</v>
      </c>
      <c r="F289" s="14">
        <f t="shared" si="25"/>
        <v>0.99358592592592598</v>
      </c>
      <c r="G289" s="14">
        <f t="shared" si="26"/>
        <v>0.22795058077782596</v>
      </c>
    </row>
    <row r="290" spans="1:7" ht="15.75" customHeight="1" outlineLevel="3" x14ac:dyDescent="0.25">
      <c r="A290" s="10" t="s">
        <v>11</v>
      </c>
      <c r="B290" s="11">
        <v>974280</v>
      </c>
      <c r="C290" s="11">
        <v>150000</v>
      </c>
      <c r="D290" s="11">
        <v>128721.9</v>
      </c>
      <c r="E290" s="11">
        <v>85704.9</v>
      </c>
      <c r="F290" s="14">
        <f t="shared" si="25"/>
        <v>0.85814599999999996</v>
      </c>
      <c r="G290" s="14">
        <f t="shared" si="26"/>
        <v>0.1321200270969331</v>
      </c>
    </row>
    <row r="291" spans="1:7" ht="15.75" customHeight="1" outlineLevel="3" x14ac:dyDescent="0.25">
      <c r="A291" s="10" t="s">
        <v>12</v>
      </c>
      <c r="B291" s="11">
        <v>2605000</v>
      </c>
      <c r="C291" s="11">
        <v>180000</v>
      </c>
      <c r="D291" s="11">
        <v>80712.240000000005</v>
      </c>
      <c r="E291" s="11">
        <v>80712.240000000005</v>
      </c>
      <c r="F291" s="14">
        <f t="shared" si="25"/>
        <v>0.44840133333333337</v>
      </c>
      <c r="G291" s="14">
        <f t="shared" si="26"/>
        <v>3.0983585412667949E-2</v>
      </c>
    </row>
    <row r="292" spans="1:7" ht="15.75" customHeight="1" outlineLevel="3" x14ac:dyDescent="0.25">
      <c r="A292" s="10" t="s">
        <v>13</v>
      </c>
      <c r="B292" s="11">
        <v>1250683</v>
      </c>
      <c r="C292" s="11">
        <v>758890</v>
      </c>
      <c r="D292" s="11">
        <v>414068.36</v>
      </c>
      <c r="E292" s="11">
        <v>414068.36</v>
      </c>
      <c r="F292" s="14">
        <f t="shared" si="25"/>
        <v>0.54562368722739785</v>
      </c>
      <c r="G292" s="14">
        <f t="shared" si="26"/>
        <v>0.33107378928153658</v>
      </c>
    </row>
    <row r="293" spans="1:7" ht="15.75" customHeight="1" outlineLevel="3" x14ac:dyDescent="0.25">
      <c r="A293" s="10" t="s">
        <v>14</v>
      </c>
      <c r="B293" s="11">
        <v>63983</v>
      </c>
      <c r="C293" s="11">
        <v>16508</v>
      </c>
      <c r="D293" s="11">
        <v>12289.7</v>
      </c>
      <c r="E293" s="11">
        <v>12289.7</v>
      </c>
      <c r="F293" s="14">
        <f t="shared" si="25"/>
        <v>0.7444693481948147</v>
      </c>
      <c r="G293" s="14">
        <f t="shared" si="26"/>
        <v>0.19207758310801307</v>
      </c>
    </row>
    <row r="294" spans="1:7" ht="15.75" customHeight="1" outlineLevel="3" x14ac:dyDescent="0.25">
      <c r="A294" s="10" t="s">
        <v>15</v>
      </c>
      <c r="B294" s="11">
        <v>613973</v>
      </c>
      <c r="C294" s="11">
        <v>71126</v>
      </c>
      <c r="D294" s="11">
        <v>45707.22</v>
      </c>
      <c r="E294" s="11">
        <v>45707.22</v>
      </c>
      <c r="F294" s="14">
        <f t="shared" si="25"/>
        <v>0.64262323201079774</v>
      </c>
      <c r="G294" s="14">
        <f t="shared" si="26"/>
        <v>7.4445000024431038E-2</v>
      </c>
    </row>
    <row r="295" spans="1:7" ht="15.75" customHeight="1" outlineLevel="3" x14ac:dyDescent="0.25">
      <c r="A295" s="10" t="s">
        <v>26</v>
      </c>
      <c r="B295" s="11">
        <v>30000</v>
      </c>
      <c r="C295" s="11">
        <v>7500</v>
      </c>
      <c r="D295" s="11">
        <v>4639.54</v>
      </c>
      <c r="E295" s="11">
        <v>4639.54</v>
      </c>
      <c r="F295" s="14">
        <f t="shared" si="25"/>
        <v>0.61860533333333334</v>
      </c>
      <c r="G295" s="14">
        <f t="shared" si="26"/>
        <v>0.15465133333333334</v>
      </c>
    </row>
    <row r="296" spans="1:7" ht="27" customHeight="1" outlineLevel="3" x14ac:dyDescent="0.25">
      <c r="A296" s="10" t="s">
        <v>16</v>
      </c>
      <c r="B296" s="11">
        <v>3000</v>
      </c>
      <c r="C296" s="12"/>
      <c r="D296" s="12"/>
      <c r="E296" s="12"/>
      <c r="F296" s="14">
        <v>0</v>
      </c>
      <c r="G296" s="14">
        <f t="shared" si="26"/>
        <v>0</v>
      </c>
    </row>
    <row r="297" spans="1:7" s="78" customFormat="1" ht="17.25" customHeight="1" outlineLevel="2" x14ac:dyDescent="0.25">
      <c r="A297" s="8" t="s">
        <v>30</v>
      </c>
      <c r="B297" s="9">
        <v>7281692</v>
      </c>
      <c r="C297" s="9">
        <v>1683600</v>
      </c>
      <c r="D297" s="9">
        <v>1673589.98</v>
      </c>
      <c r="E297" s="9">
        <v>1673589.98</v>
      </c>
      <c r="F297" s="16">
        <f t="shared" ref="F297:F308" si="27">D297/C297</f>
        <v>0.99405439534331197</v>
      </c>
      <c r="G297" s="16">
        <f t="shared" si="26"/>
        <v>0.22983531574804317</v>
      </c>
    </row>
    <row r="298" spans="1:7" ht="17.25" customHeight="1" outlineLevel="3" x14ac:dyDescent="0.25">
      <c r="A298" s="10" t="s">
        <v>9</v>
      </c>
      <c r="B298" s="11">
        <v>5968600</v>
      </c>
      <c r="C298" s="11">
        <v>1380000</v>
      </c>
      <c r="D298" s="11">
        <v>1379930.12</v>
      </c>
      <c r="E298" s="11">
        <v>1379930.12</v>
      </c>
      <c r="F298" s="14">
        <f t="shared" si="27"/>
        <v>0.99994936231884068</v>
      </c>
      <c r="G298" s="14">
        <f t="shared" si="26"/>
        <v>0.2311982910565292</v>
      </c>
    </row>
    <row r="299" spans="1:7" ht="17.25" customHeight="1" outlineLevel="3" x14ac:dyDescent="0.25">
      <c r="A299" s="10" t="s">
        <v>10</v>
      </c>
      <c r="B299" s="11">
        <v>1313092</v>
      </c>
      <c r="C299" s="11">
        <v>303600</v>
      </c>
      <c r="D299" s="11">
        <v>293659.86</v>
      </c>
      <c r="E299" s="11">
        <v>293659.86</v>
      </c>
      <c r="F299" s="14">
        <f t="shared" si="27"/>
        <v>0.9672590909090909</v>
      </c>
      <c r="G299" s="14">
        <f t="shared" si="26"/>
        <v>0.22363997343674319</v>
      </c>
    </row>
    <row r="300" spans="1:7" s="78" customFormat="1" ht="27" customHeight="1" outlineLevel="2" x14ac:dyDescent="0.25">
      <c r="A300" s="8" t="s">
        <v>23</v>
      </c>
      <c r="B300" s="9">
        <v>47520127</v>
      </c>
      <c r="C300" s="9">
        <f>SUM(C301:C309)</f>
        <v>9776616</v>
      </c>
      <c r="D300" s="9">
        <v>8887942.1099999994</v>
      </c>
      <c r="E300" s="9">
        <v>8887942.1099999994</v>
      </c>
      <c r="F300" s="16">
        <f t="shared" si="27"/>
        <v>0.90910209729010527</v>
      </c>
      <c r="G300" s="16">
        <f t="shared" si="26"/>
        <v>0.1870353189502208</v>
      </c>
    </row>
    <row r="301" spans="1:7" ht="18" customHeight="1" outlineLevel="3" x14ac:dyDescent="0.25">
      <c r="A301" s="10" t="s">
        <v>9</v>
      </c>
      <c r="B301" s="11">
        <v>28943677</v>
      </c>
      <c r="C301" s="11">
        <f>18858000-C285-C288-C298-C311</f>
        <v>6408000</v>
      </c>
      <c r="D301" s="11">
        <v>6293431.7000000002</v>
      </c>
      <c r="E301" s="11">
        <v>6293431.7000000002</v>
      </c>
      <c r="F301" s="14">
        <f t="shared" si="27"/>
        <v>0.98212105181023723</v>
      </c>
      <c r="G301" s="14">
        <f t="shared" si="26"/>
        <v>0.21743718671266268</v>
      </c>
    </row>
    <row r="302" spans="1:7" ht="18" customHeight="1" outlineLevel="3" x14ac:dyDescent="0.25">
      <c r="A302" s="10" t="s">
        <v>10</v>
      </c>
      <c r="B302" s="11">
        <v>6367609</v>
      </c>
      <c r="C302" s="11">
        <f>4148760-C286-C289-C299-C312</f>
        <v>1409760</v>
      </c>
      <c r="D302" s="11">
        <v>1404814.79</v>
      </c>
      <c r="E302" s="11">
        <v>1404814.79</v>
      </c>
      <c r="F302" s="14">
        <f t="shared" si="27"/>
        <v>0.99649216178640343</v>
      </c>
      <c r="G302" s="14">
        <f t="shared" si="26"/>
        <v>0.22061888379138858</v>
      </c>
    </row>
    <row r="303" spans="1:7" ht="18" customHeight="1" outlineLevel="3" x14ac:dyDescent="0.25">
      <c r="A303" s="10" t="s">
        <v>11</v>
      </c>
      <c r="B303" s="11">
        <v>4001720</v>
      </c>
      <c r="C303" s="11">
        <f>1450000-C313-C290</f>
        <v>50000</v>
      </c>
      <c r="D303" s="11">
        <v>18449.5</v>
      </c>
      <c r="E303" s="11">
        <v>18449.5</v>
      </c>
      <c r="F303" s="14">
        <f t="shared" si="27"/>
        <v>0.36898999999999998</v>
      </c>
      <c r="G303" s="14">
        <f t="shared" si="26"/>
        <v>4.6103925312115787E-3</v>
      </c>
    </row>
    <row r="304" spans="1:7" ht="18" customHeight="1" outlineLevel="3" x14ac:dyDescent="0.25">
      <c r="A304" s="10" t="s">
        <v>12</v>
      </c>
      <c r="B304" s="11">
        <v>4795000</v>
      </c>
      <c r="C304" s="11">
        <f>1870000-C291-C314</f>
        <v>290000</v>
      </c>
      <c r="D304" s="11">
        <v>147418.73000000001</v>
      </c>
      <c r="E304" s="11">
        <v>147418.73000000001</v>
      </c>
      <c r="F304" s="14">
        <f t="shared" si="27"/>
        <v>0.50834044827586211</v>
      </c>
      <c r="G304" s="14">
        <f t="shared" si="26"/>
        <v>3.0744260688216896E-2</v>
      </c>
    </row>
    <row r="305" spans="1:7" ht="18" customHeight="1" outlineLevel="3" x14ac:dyDescent="0.25">
      <c r="A305" s="10" t="s">
        <v>13</v>
      </c>
      <c r="B305" s="11">
        <v>2761908</v>
      </c>
      <c r="C305" s="11">
        <f>2241464-C315-C292</f>
        <v>1380481</v>
      </c>
      <c r="D305" s="11">
        <v>827422.87</v>
      </c>
      <c r="E305" s="11">
        <v>827422.87</v>
      </c>
      <c r="F305" s="14">
        <f t="shared" si="27"/>
        <v>0.59937287800411598</v>
      </c>
      <c r="G305" s="14">
        <f t="shared" si="26"/>
        <v>0.29958379135003771</v>
      </c>
    </row>
    <row r="306" spans="1:7" ht="18" customHeight="1" outlineLevel="3" x14ac:dyDescent="0.25">
      <c r="A306" s="10" t="s">
        <v>14</v>
      </c>
      <c r="B306" s="11">
        <v>105910</v>
      </c>
      <c r="C306" s="11">
        <f>62935-C293-C316</f>
        <v>31071</v>
      </c>
      <c r="D306" s="11">
        <v>9641.7900000000009</v>
      </c>
      <c r="E306" s="11">
        <v>9641.7900000000009</v>
      </c>
      <c r="F306" s="14">
        <f t="shared" si="27"/>
        <v>0.3103147629622478</v>
      </c>
      <c r="G306" s="14">
        <f t="shared" si="26"/>
        <v>9.1037579076574462E-2</v>
      </c>
    </row>
    <row r="307" spans="1:7" ht="18" customHeight="1" outlineLevel="3" x14ac:dyDescent="0.25">
      <c r="A307" s="10" t="s">
        <v>15</v>
      </c>
      <c r="B307" s="11">
        <v>463360</v>
      </c>
      <c r="C307" s="11">
        <f>425296-C294-C317</f>
        <v>184320</v>
      </c>
      <c r="D307" s="11">
        <v>184319.41</v>
      </c>
      <c r="E307" s="11">
        <v>184319.41</v>
      </c>
      <c r="F307" s="14">
        <f t="shared" si="27"/>
        <v>0.99999679904513894</v>
      </c>
      <c r="G307" s="14">
        <f t="shared" si="26"/>
        <v>0.39778878194060774</v>
      </c>
    </row>
    <row r="308" spans="1:7" ht="18" customHeight="1" outlineLevel="3" x14ac:dyDescent="0.25">
      <c r="A308" s="10" t="s">
        <v>26</v>
      </c>
      <c r="B308" s="11">
        <v>68943</v>
      </c>
      <c r="C308" s="11">
        <f>37000-C318-C295</f>
        <v>22984</v>
      </c>
      <c r="D308" s="11">
        <v>2443.3200000000002</v>
      </c>
      <c r="E308" s="11">
        <v>2443.3200000000002</v>
      </c>
      <c r="F308" s="14">
        <f t="shared" si="27"/>
        <v>0.10630525583014272</v>
      </c>
      <c r="G308" s="14">
        <f t="shared" si="26"/>
        <v>3.5439711065662939E-2</v>
      </c>
    </row>
    <row r="309" spans="1:7" ht="27" customHeight="1" outlineLevel="3" x14ac:dyDescent="0.25">
      <c r="A309" s="10" t="s">
        <v>16</v>
      </c>
      <c r="B309" s="11">
        <v>12000</v>
      </c>
      <c r="C309" s="11"/>
      <c r="D309" s="12"/>
      <c r="E309" s="12"/>
      <c r="F309" s="14">
        <v>0</v>
      </c>
      <c r="G309" s="14">
        <f t="shared" si="26"/>
        <v>0</v>
      </c>
    </row>
    <row r="310" spans="1:7" s="78" customFormat="1" ht="25.5" customHeight="1" outlineLevel="2" x14ac:dyDescent="0.25">
      <c r="A310" s="8" t="s">
        <v>36</v>
      </c>
      <c r="B310" s="9">
        <v>43058569</v>
      </c>
      <c r="C310" s="9">
        <v>11435015</v>
      </c>
      <c r="D310" s="9">
        <v>8885563.8699999992</v>
      </c>
      <c r="E310" s="9">
        <v>8885563.8699999992</v>
      </c>
      <c r="F310" s="16">
        <f t="shared" ref="F310:F318" si="28">D310/C310</f>
        <v>0.77704872883857168</v>
      </c>
      <c r="G310" s="16">
        <f t="shared" si="26"/>
        <v>0.20635994359218021</v>
      </c>
    </row>
    <row r="311" spans="1:7" ht="15" customHeight="1" outlineLevel="3" x14ac:dyDescent="0.25">
      <c r="A311" s="10" t="s">
        <v>9</v>
      </c>
      <c r="B311" s="11">
        <v>29997100</v>
      </c>
      <c r="C311" s="11">
        <v>6960000</v>
      </c>
      <c r="D311" s="11">
        <v>6955649.9100000001</v>
      </c>
      <c r="E311" s="11">
        <v>6955649.9100000001</v>
      </c>
      <c r="F311" s="14">
        <f t="shared" si="28"/>
        <v>0.99937498706896555</v>
      </c>
      <c r="G311" s="14">
        <f t="shared" si="26"/>
        <v>0.23187741181647559</v>
      </c>
    </row>
    <row r="312" spans="1:7" ht="15" customHeight="1" outlineLevel="3" x14ac:dyDescent="0.25">
      <c r="A312" s="10" t="s">
        <v>10</v>
      </c>
      <c r="B312" s="11">
        <v>6599362</v>
      </c>
      <c r="C312" s="11">
        <v>1531200</v>
      </c>
      <c r="D312" s="11">
        <v>1527089.18</v>
      </c>
      <c r="E312" s="11">
        <v>1527089.18</v>
      </c>
      <c r="F312" s="14">
        <f t="shared" si="28"/>
        <v>0.99731529519331241</v>
      </c>
      <c r="G312" s="14">
        <f t="shared" si="26"/>
        <v>0.23139951710483528</v>
      </c>
    </row>
    <row r="313" spans="1:7" ht="15" customHeight="1" outlineLevel="3" x14ac:dyDescent="0.25">
      <c r="A313" s="10" t="s">
        <v>11</v>
      </c>
      <c r="B313" s="11">
        <v>2000000</v>
      </c>
      <c r="C313" s="11">
        <v>1250000</v>
      </c>
      <c r="D313" s="11">
        <v>160559.6</v>
      </c>
      <c r="E313" s="11">
        <v>160559.6</v>
      </c>
      <c r="F313" s="14">
        <f t="shared" si="28"/>
        <v>0.12844768000000001</v>
      </c>
      <c r="G313" s="14">
        <f t="shared" si="26"/>
        <v>8.0279799999999998E-2</v>
      </c>
    </row>
    <row r="314" spans="1:7" ht="15" customHeight="1" outlineLevel="3" x14ac:dyDescent="0.25">
      <c r="A314" s="10" t="s">
        <v>12</v>
      </c>
      <c r="B314" s="11">
        <v>3600000</v>
      </c>
      <c r="C314" s="11">
        <v>1400000</v>
      </c>
      <c r="D314" s="11">
        <v>25886.1</v>
      </c>
      <c r="E314" s="11">
        <v>25886.1</v>
      </c>
      <c r="F314" s="14">
        <f t="shared" si="28"/>
        <v>1.8490071428571429E-2</v>
      </c>
      <c r="G314" s="14">
        <f t="shared" si="26"/>
        <v>7.1905833333333327E-3</v>
      </c>
    </row>
    <row r="315" spans="1:7" ht="15" customHeight="1" outlineLevel="3" x14ac:dyDescent="0.25">
      <c r="A315" s="10" t="s">
        <v>13</v>
      </c>
      <c r="B315" s="11">
        <v>364729</v>
      </c>
      <c r="C315" s="11">
        <v>102093</v>
      </c>
      <c r="D315" s="11">
        <v>34405.97</v>
      </c>
      <c r="E315" s="11">
        <v>34405.97</v>
      </c>
      <c r="F315" s="14">
        <f t="shared" si="28"/>
        <v>0.33700616104923942</v>
      </c>
      <c r="G315" s="14">
        <f t="shared" si="26"/>
        <v>9.4332970506869493E-2</v>
      </c>
    </row>
    <row r="316" spans="1:7" ht="15" customHeight="1" outlineLevel="3" x14ac:dyDescent="0.25">
      <c r="A316" s="10" t="s">
        <v>14</v>
      </c>
      <c r="B316" s="11">
        <v>64483</v>
      </c>
      <c r="C316" s="11">
        <v>15356</v>
      </c>
      <c r="D316" s="11">
        <v>9300.56</v>
      </c>
      <c r="E316" s="11">
        <v>9300.56</v>
      </c>
      <c r="F316" s="14">
        <f t="shared" si="28"/>
        <v>0.60566293305548313</v>
      </c>
      <c r="G316" s="14">
        <f t="shared" si="26"/>
        <v>0.14423274351379434</v>
      </c>
    </row>
    <row r="317" spans="1:7" ht="15" customHeight="1" outlineLevel="3" x14ac:dyDescent="0.25">
      <c r="A317" s="10" t="s">
        <v>15</v>
      </c>
      <c r="B317" s="11">
        <v>403830</v>
      </c>
      <c r="C317" s="11">
        <v>169850</v>
      </c>
      <c r="D317" s="11">
        <v>169837.27</v>
      </c>
      <c r="E317" s="11">
        <v>169837.27</v>
      </c>
      <c r="F317" s="14">
        <f t="shared" si="28"/>
        <v>0.99992505151604349</v>
      </c>
      <c r="G317" s="14">
        <f t="shared" si="26"/>
        <v>0.42056625312631551</v>
      </c>
    </row>
    <row r="318" spans="1:7" ht="15" customHeight="1" outlineLevel="3" x14ac:dyDescent="0.25">
      <c r="A318" s="10" t="s">
        <v>26</v>
      </c>
      <c r="B318" s="11">
        <v>26065</v>
      </c>
      <c r="C318" s="11">
        <v>6516</v>
      </c>
      <c r="D318" s="11">
        <v>2835.28</v>
      </c>
      <c r="E318" s="11">
        <v>2835.28</v>
      </c>
      <c r="F318" s="14">
        <f t="shared" si="28"/>
        <v>0.43512584407612037</v>
      </c>
      <c r="G318" s="14">
        <f t="shared" si="26"/>
        <v>0.10877728755035489</v>
      </c>
    </row>
    <row r="319" spans="1:7" ht="27.75" customHeight="1" outlineLevel="3" x14ac:dyDescent="0.25">
      <c r="A319" s="10" t="s">
        <v>16</v>
      </c>
      <c r="B319" s="11">
        <v>3000</v>
      </c>
      <c r="C319" s="12"/>
      <c r="D319" s="12"/>
      <c r="E319" s="12"/>
      <c r="F319" s="14">
        <v>0</v>
      </c>
      <c r="G319" s="14">
        <f t="shared" si="26"/>
        <v>0</v>
      </c>
    </row>
    <row r="320" spans="1:7" ht="24.75" customHeight="1" outlineLevel="1" x14ac:dyDescent="0.25">
      <c r="A320" s="28" t="s">
        <v>73</v>
      </c>
      <c r="B320" s="22">
        <v>182328710</v>
      </c>
      <c r="C320" s="22">
        <f>C321+C331</f>
        <v>42298075</v>
      </c>
      <c r="D320" s="22">
        <v>40571309.149999999</v>
      </c>
      <c r="E320" s="22">
        <v>40550109.149999999</v>
      </c>
      <c r="F320" s="23">
        <f t="shared" ref="F320:F329" si="29">D320/C320</f>
        <v>0.95917625447493771</v>
      </c>
      <c r="G320" s="23">
        <f t="shared" si="26"/>
        <v>0.22251739262565945</v>
      </c>
    </row>
    <row r="321" spans="1:7" s="78" customFormat="1" ht="23.25" customHeight="1" outlineLevel="2" x14ac:dyDescent="0.25">
      <c r="A321" s="8" t="s">
        <v>25</v>
      </c>
      <c r="B321" s="9">
        <v>135891697</v>
      </c>
      <c r="C321" s="9">
        <f>42298075-C331</f>
        <v>31337541</v>
      </c>
      <c r="D321" s="9">
        <v>30160693</v>
      </c>
      <c r="E321" s="9">
        <v>30139493</v>
      </c>
      <c r="F321" s="16">
        <f t="shared" si="29"/>
        <v>0.96244606429074953</v>
      </c>
      <c r="G321" s="16">
        <f t="shared" si="26"/>
        <v>0.22194654762461316</v>
      </c>
    </row>
    <row r="322" spans="1:7" ht="17.25" customHeight="1" outlineLevel="3" x14ac:dyDescent="0.25">
      <c r="A322" s="10" t="s">
        <v>9</v>
      </c>
      <c r="B322" s="11">
        <v>101772123</v>
      </c>
      <c r="C322" s="11">
        <f>32280000-C332</f>
        <v>23925000</v>
      </c>
      <c r="D322" s="11">
        <v>23919576.68</v>
      </c>
      <c r="E322" s="11">
        <v>23919576.68</v>
      </c>
      <c r="F322" s="14">
        <f t="shared" si="29"/>
        <v>0.99977331995820273</v>
      </c>
      <c r="G322" s="14">
        <f t="shared" si="26"/>
        <v>0.23503073312128903</v>
      </c>
    </row>
    <row r="323" spans="1:7" ht="17.25" customHeight="1" outlineLevel="3" x14ac:dyDescent="0.25">
      <c r="A323" s="10" t="s">
        <v>10</v>
      </c>
      <c r="B323" s="11">
        <v>22389867</v>
      </c>
      <c r="C323" s="11">
        <f>7101600-C333</f>
        <v>5263500</v>
      </c>
      <c r="D323" s="11">
        <v>5248079.75</v>
      </c>
      <c r="E323" s="11">
        <v>5248079.75</v>
      </c>
      <c r="F323" s="14">
        <f t="shared" si="29"/>
        <v>0.99707034292770969</v>
      </c>
      <c r="G323" s="14">
        <f t="shared" si="26"/>
        <v>0.23439530703777739</v>
      </c>
    </row>
    <row r="324" spans="1:7" ht="17.25" customHeight="1" outlineLevel="3" x14ac:dyDescent="0.25">
      <c r="A324" s="10" t="s">
        <v>11</v>
      </c>
      <c r="B324" s="11">
        <v>1900000</v>
      </c>
      <c r="C324" s="11">
        <f>260000-C334</f>
        <v>200000</v>
      </c>
      <c r="D324" s="11">
        <v>21200</v>
      </c>
      <c r="E324" s="12"/>
      <c r="F324" s="14">
        <f t="shared" si="29"/>
        <v>0.106</v>
      </c>
      <c r="G324" s="14">
        <f t="shared" si="26"/>
        <v>1.1157894736842104E-2</v>
      </c>
    </row>
    <row r="325" spans="1:7" ht="17.25" customHeight="1" outlineLevel="3" x14ac:dyDescent="0.25">
      <c r="A325" s="10" t="s">
        <v>12</v>
      </c>
      <c r="B325" s="11">
        <v>5760684</v>
      </c>
      <c r="C325" s="11">
        <f>525000-C335</f>
        <v>375000</v>
      </c>
      <c r="D325" s="11">
        <v>103299.19</v>
      </c>
      <c r="E325" s="11">
        <v>103299.19</v>
      </c>
      <c r="F325" s="14">
        <f t="shared" si="29"/>
        <v>0.27546450666666666</v>
      </c>
      <c r="G325" s="14">
        <f t="shared" si="26"/>
        <v>1.7931757756544188E-2</v>
      </c>
    </row>
    <row r="326" spans="1:7" ht="17.25" customHeight="1" outlineLevel="3" x14ac:dyDescent="0.25">
      <c r="A326" s="10" t="s">
        <v>13</v>
      </c>
      <c r="B326" s="11">
        <v>2650797</v>
      </c>
      <c r="C326" s="11">
        <f>1592831-C336</f>
        <v>1307966</v>
      </c>
      <c r="D326" s="11">
        <v>696918.26</v>
      </c>
      <c r="E326" s="11">
        <v>696918.26</v>
      </c>
      <c r="F326" s="14">
        <f t="shared" si="29"/>
        <v>0.53282597559875411</v>
      </c>
      <c r="G326" s="14">
        <f t="shared" si="26"/>
        <v>0.26290895153419896</v>
      </c>
    </row>
    <row r="327" spans="1:7" ht="17.25" customHeight="1" outlineLevel="3" x14ac:dyDescent="0.25">
      <c r="A327" s="10" t="s">
        <v>14</v>
      </c>
      <c r="B327" s="11">
        <v>131300</v>
      </c>
      <c r="C327" s="11">
        <f>65017-C337</f>
        <v>39490</v>
      </c>
      <c r="D327" s="11">
        <v>28349.759999999998</v>
      </c>
      <c r="E327" s="11">
        <v>28349.759999999998</v>
      </c>
      <c r="F327" s="14">
        <f t="shared" si="29"/>
        <v>0.71789718916181311</v>
      </c>
      <c r="G327" s="14">
        <f t="shared" si="26"/>
        <v>0.21591591774562072</v>
      </c>
    </row>
    <row r="328" spans="1:7" ht="17.25" customHeight="1" outlineLevel="3" x14ac:dyDescent="0.25">
      <c r="A328" s="10" t="s">
        <v>15</v>
      </c>
      <c r="B328" s="11">
        <v>767426</v>
      </c>
      <c r="C328" s="11">
        <f>463883-C338</f>
        <v>221713</v>
      </c>
      <c r="D328" s="11">
        <v>143064.66</v>
      </c>
      <c r="E328" s="11">
        <v>143064.66</v>
      </c>
      <c r="F328" s="14">
        <f t="shared" si="29"/>
        <v>0.64526960530054622</v>
      </c>
      <c r="G328" s="14">
        <f t="shared" si="26"/>
        <v>0.18642143998248692</v>
      </c>
    </row>
    <row r="329" spans="1:7" ht="22.5" customHeight="1" outlineLevel="3" x14ac:dyDescent="0.25">
      <c r="A329" s="10" t="s">
        <v>26</v>
      </c>
      <c r="B329" s="11">
        <v>19500</v>
      </c>
      <c r="C329" s="11">
        <f>9744-C339</f>
        <v>4872</v>
      </c>
      <c r="D329" s="13">
        <v>204.7</v>
      </c>
      <c r="E329" s="13">
        <v>204.7</v>
      </c>
      <c r="F329" s="14">
        <f t="shared" si="29"/>
        <v>4.201559934318555E-2</v>
      </c>
      <c r="G329" s="14">
        <f t="shared" si="26"/>
        <v>1.0497435897435898E-2</v>
      </c>
    </row>
    <row r="330" spans="1:7" ht="27" customHeight="1" outlineLevel="3" x14ac:dyDescent="0.25">
      <c r="A330" s="10" t="s">
        <v>56</v>
      </c>
      <c r="B330" s="11">
        <v>500000</v>
      </c>
      <c r="C330" s="12"/>
      <c r="D330" s="12"/>
      <c r="E330" s="12"/>
      <c r="F330" s="14">
        <v>0</v>
      </c>
      <c r="G330" s="14">
        <f t="shared" si="26"/>
        <v>0</v>
      </c>
    </row>
    <row r="331" spans="1:7" s="78" customFormat="1" ht="27.75" customHeight="1" outlineLevel="2" x14ac:dyDescent="0.25">
      <c r="A331" s="8" t="s">
        <v>39</v>
      </c>
      <c r="B331" s="9">
        <v>46437013</v>
      </c>
      <c r="C331" s="9">
        <v>10960534</v>
      </c>
      <c r="D331" s="9">
        <v>10410616.15</v>
      </c>
      <c r="E331" s="9">
        <v>10410616.15</v>
      </c>
      <c r="F331" s="16">
        <f t="shared" ref="F331:F349" si="30">D331/C331</f>
        <v>0.949827458224207</v>
      </c>
      <c r="G331" s="16">
        <f t="shared" si="26"/>
        <v>0.22418789404047157</v>
      </c>
    </row>
    <row r="332" spans="1:7" ht="15" customHeight="1" outlineLevel="3" x14ac:dyDescent="0.25">
      <c r="A332" s="10" t="s">
        <v>9</v>
      </c>
      <c r="B332" s="11">
        <v>35539000</v>
      </c>
      <c r="C332" s="11">
        <v>8355000</v>
      </c>
      <c r="D332" s="11">
        <v>8354888.2800000003</v>
      </c>
      <c r="E332" s="11">
        <v>8354888.2800000003</v>
      </c>
      <c r="F332" s="14">
        <f t="shared" si="30"/>
        <v>0.99998662836624774</v>
      </c>
      <c r="G332" s="14">
        <f t="shared" si="26"/>
        <v>0.23509069698078169</v>
      </c>
    </row>
    <row r="333" spans="1:7" ht="15" customHeight="1" outlineLevel="3" x14ac:dyDescent="0.25">
      <c r="A333" s="10" t="s">
        <v>10</v>
      </c>
      <c r="B333" s="11">
        <v>7818580</v>
      </c>
      <c r="C333" s="11">
        <v>1838100</v>
      </c>
      <c r="D333" s="11">
        <v>1829256.51</v>
      </c>
      <c r="E333" s="11">
        <v>1829256.51</v>
      </c>
      <c r="F333" s="14">
        <f t="shared" si="30"/>
        <v>0.9951887873347478</v>
      </c>
      <c r="G333" s="14">
        <f t="shared" si="26"/>
        <v>0.23396275410624437</v>
      </c>
    </row>
    <row r="334" spans="1:7" ht="15" customHeight="1" outlineLevel="3" x14ac:dyDescent="0.25">
      <c r="A334" s="10" t="s">
        <v>11</v>
      </c>
      <c r="B334" s="11">
        <v>300000</v>
      </c>
      <c r="C334" s="11">
        <v>60000</v>
      </c>
      <c r="D334" s="12"/>
      <c r="E334" s="12"/>
      <c r="F334" s="14">
        <f t="shared" si="30"/>
        <v>0</v>
      </c>
      <c r="G334" s="14">
        <f t="shared" si="26"/>
        <v>0</v>
      </c>
    </row>
    <row r="335" spans="1:7" ht="15" customHeight="1" outlineLevel="3" x14ac:dyDescent="0.25">
      <c r="A335" s="10" t="s">
        <v>12</v>
      </c>
      <c r="B335" s="11">
        <v>1600000</v>
      </c>
      <c r="C335" s="11">
        <v>150000</v>
      </c>
      <c r="D335" s="11">
        <v>39124.980000000003</v>
      </c>
      <c r="E335" s="11">
        <v>39124.980000000003</v>
      </c>
      <c r="F335" s="14">
        <f t="shared" si="30"/>
        <v>0.26083320000000004</v>
      </c>
      <c r="G335" s="14">
        <f t="shared" si="26"/>
        <v>2.4453112500000002E-2</v>
      </c>
    </row>
    <row r="336" spans="1:7" ht="15" customHeight="1" outlineLevel="3" x14ac:dyDescent="0.25">
      <c r="A336" s="10" t="s">
        <v>13</v>
      </c>
      <c r="B336" s="11">
        <v>582549</v>
      </c>
      <c r="C336" s="11">
        <v>284865</v>
      </c>
      <c r="D336" s="11">
        <v>69082.880000000005</v>
      </c>
      <c r="E336" s="11">
        <v>69082.880000000005</v>
      </c>
      <c r="F336" s="14">
        <f t="shared" si="30"/>
        <v>0.24251094378038721</v>
      </c>
      <c r="G336" s="14">
        <f t="shared" si="26"/>
        <v>0.11858724330485505</v>
      </c>
    </row>
    <row r="337" spans="1:7" ht="15" customHeight="1" outlineLevel="3" x14ac:dyDescent="0.25">
      <c r="A337" s="10" t="s">
        <v>14</v>
      </c>
      <c r="B337" s="11">
        <v>83110</v>
      </c>
      <c r="C337" s="11">
        <v>25527</v>
      </c>
      <c r="D337" s="11">
        <v>17339.580000000002</v>
      </c>
      <c r="E337" s="11">
        <v>17339.580000000002</v>
      </c>
      <c r="F337" s="14">
        <f t="shared" si="30"/>
        <v>0.67926430837936314</v>
      </c>
      <c r="G337" s="14">
        <f t="shared" si="26"/>
        <v>0.20863409938635546</v>
      </c>
    </row>
    <row r="338" spans="1:7" ht="15" customHeight="1" outlineLevel="3" x14ac:dyDescent="0.25">
      <c r="A338" s="10" t="s">
        <v>15</v>
      </c>
      <c r="B338" s="11">
        <v>494274</v>
      </c>
      <c r="C338" s="11">
        <v>242170</v>
      </c>
      <c r="D338" s="11">
        <v>99900.45</v>
      </c>
      <c r="E338" s="11">
        <v>99900.45</v>
      </c>
      <c r="F338" s="14">
        <f t="shared" si="30"/>
        <v>0.41252198868563406</v>
      </c>
      <c r="G338" s="14">
        <f t="shared" si="26"/>
        <v>0.20211552701538013</v>
      </c>
    </row>
    <row r="339" spans="1:7" ht="15" customHeight="1" outlineLevel="3" x14ac:dyDescent="0.25">
      <c r="A339" s="10" t="s">
        <v>26</v>
      </c>
      <c r="B339" s="11">
        <v>19500</v>
      </c>
      <c r="C339" s="11">
        <v>4872</v>
      </c>
      <c r="D339" s="11">
        <v>1023.47</v>
      </c>
      <c r="E339" s="11">
        <v>1023.47</v>
      </c>
      <c r="F339" s="14">
        <f t="shared" si="30"/>
        <v>0.21007183908045979</v>
      </c>
      <c r="G339" s="14">
        <f t="shared" si="26"/>
        <v>5.2485641025641024E-2</v>
      </c>
    </row>
    <row r="340" spans="1:7" ht="24.75" customHeight="1" outlineLevel="1" x14ac:dyDescent="0.25">
      <c r="A340" s="28" t="s">
        <v>74</v>
      </c>
      <c r="B340" s="22">
        <v>62760224</v>
      </c>
      <c r="C340" s="22">
        <v>14497467</v>
      </c>
      <c r="D340" s="22">
        <v>13242683.859999999</v>
      </c>
      <c r="E340" s="22">
        <v>13242683.859999999</v>
      </c>
      <c r="F340" s="23">
        <f t="shared" si="30"/>
        <v>0.91344811200466947</v>
      </c>
      <c r="G340" s="23">
        <f t="shared" si="26"/>
        <v>0.21100440718630958</v>
      </c>
    </row>
    <row r="341" spans="1:7" ht="29.25" customHeight="1" outlineLevel="2" x14ac:dyDescent="0.25">
      <c r="A341" s="5" t="s">
        <v>23</v>
      </c>
      <c r="B341" s="6">
        <v>62760224</v>
      </c>
      <c r="C341" s="6">
        <v>14497467</v>
      </c>
      <c r="D341" s="6">
        <v>13242683.859999999</v>
      </c>
      <c r="E341" s="6">
        <v>13242683.859999999</v>
      </c>
      <c r="F341" s="7">
        <f t="shared" si="30"/>
        <v>0.91344811200466947</v>
      </c>
      <c r="G341" s="7">
        <f t="shared" si="26"/>
        <v>0.21100440718630958</v>
      </c>
    </row>
    <row r="342" spans="1:7" ht="15.75" customHeight="1" outlineLevel="3" x14ac:dyDescent="0.25">
      <c r="A342" s="10" t="s">
        <v>9</v>
      </c>
      <c r="B342" s="11">
        <v>43771578</v>
      </c>
      <c r="C342" s="11">
        <v>10500000</v>
      </c>
      <c r="D342" s="11">
        <v>10204023.460000001</v>
      </c>
      <c r="E342" s="11">
        <v>10204023.460000001</v>
      </c>
      <c r="F342" s="14">
        <f t="shared" si="30"/>
        <v>0.97181175809523823</v>
      </c>
      <c r="G342" s="14">
        <f t="shared" si="26"/>
        <v>0.23311984457128782</v>
      </c>
    </row>
    <row r="343" spans="1:7" ht="15.75" customHeight="1" outlineLevel="3" x14ac:dyDescent="0.25">
      <c r="A343" s="10" t="s">
        <v>10</v>
      </c>
      <c r="B343" s="11">
        <v>9629747</v>
      </c>
      <c r="C343" s="11">
        <v>2310000</v>
      </c>
      <c r="D343" s="11">
        <v>2223212.91</v>
      </c>
      <c r="E343" s="11">
        <v>2223212.91</v>
      </c>
      <c r="F343" s="14">
        <f t="shared" si="30"/>
        <v>0.96242983116883118</v>
      </c>
      <c r="G343" s="14">
        <f t="shared" si="26"/>
        <v>0.23086929594308139</v>
      </c>
    </row>
    <row r="344" spans="1:7" ht="15.75" customHeight="1" outlineLevel="3" x14ac:dyDescent="0.25">
      <c r="A344" s="10" t="s">
        <v>11</v>
      </c>
      <c r="B344" s="11">
        <v>805430</v>
      </c>
      <c r="C344" s="11">
        <v>205430</v>
      </c>
      <c r="D344" s="11">
        <v>87669</v>
      </c>
      <c r="E344" s="11">
        <v>87669</v>
      </c>
      <c r="F344" s="14">
        <f t="shared" si="30"/>
        <v>0.42675850654724234</v>
      </c>
      <c r="G344" s="14">
        <f t="shared" si="26"/>
        <v>0.10884744794705933</v>
      </c>
    </row>
    <row r="345" spans="1:7" ht="15.75" customHeight="1" outlineLevel="3" x14ac:dyDescent="0.25">
      <c r="A345" s="10" t="s">
        <v>12</v>
      </c>
      <c r="B345" s="11">
        <v>6900000</v>
      </c>
      <c r="C345" s="11">
        <v>900000</v>
      </c>
      <c r="D345" s="11">
        <v>456311.93</v>
      </c>
      <c r="E345" s="11">
        <v>456311.93</v>
      </c>
      <c r="F345" s="14">
        <f t="shared" si="30"/>
        <v>0.50701325555555554</v>
      </c>
      <c r="G345" s="14">
        <f t="shared" si="26"/>
        <v>6.613216376811594E-2</v>
      </c>
    </row>
    <row r="346" spans="1:7" ht="15.75" customHeight="1" outlineLevel="3" x14ac:dyDescent="0.25">
      <c r="A346" s="10" t="s">
        <v>13</v>
      </c>
      <c r="B346" s="11">
        <v>761088</v>
      </c>
      <c r="C346" s="11">
        <v>337397</v>
      </c>
      <c r="D346" s="11">
        <v>43958.41</v>
      </c>
      <c r="E346" s="11">
        <v>43958.41</v>
      </c>
      <c r="F346" s="14">
        <f t="shared" si="30"/>
        <v>0.1302869023731687</v>
      </c>
      <c r="G346" s="14">
        <f t="shared" si="26"/>
        <v>5.7757328981668354E-2</v>
      </c>
    </row>
    <row r="347" spans="1:7" ht="15.75" customHeight="1" outlineLevel="3" x14ac:dyDescent="0.25">
      <c r="A347" s="10" t="s">
        <v>14</v>
      </c>
      <c r="B347" s="11">
        <v>101851</v>
      </c>
      <c r="C347" s="11">
        <v>24138</v>
      </c>
      <c r="D347" s="11">
        <v>18057.98</v>
      </c>
      <c r="E347" s="11">
        <v>18057.98</v>
      </c>
      <c r="F347" s="14">
        <f t="shared" si="30"/>
        <v>0.74811417681663761</v>
      </c>
      <c r="G347" s="14">
        <f t="shared" si="26"/>
        <v>0.17729801376520604</v>
      </c>
    </row>
    <row r="348" spans="1:7" ht="15.75" customHeight="1" outlineLevel="3" x14ac:dyDescent="0.25">
      <c r="A348" s="10" t="s">
        <v>15</v>
      </c>
      <c r="B348" s="11">
        <v>744290</v>
      </c>
      <c r="C348" s="11">
        <v>206600</v>
      </c>
      <c r="D348" s="11">
        <v>206599.63</v>
      </c>
      <c r="E348" s="11">
        <v>206599.63</v>
      </c>
      <c r="F348" s="14">
        <f t="shared" si="30"/>
        <v>0.9999982090997096</v>
      </c>
      <c r="G348" s="14">
        <f t="shared" ref="G348:G411" si="31">D348/B348</f>
        <v>0.27757947842910696</v>
      </c>
    </row>
    <row r="349" spans="1:7" ht="15.75" customHeight="1" outlineLevel="3" x14ac:dyDescent="0.25">
      <c r="A349" s="10" t="s">
        <v>26</v>
      </c>
      <c r="B349" s="11">
        <v>40240</v>
      </c>
      <c r="C349" s="11">
        <v>13902</v>
      </c>
      <c r="D349" s="11">
        <v>2850.54</v>
      </c>
      <c r="E349" s="11">
        <v>2850.54</v>
      </c>
      <c r="F349" s="14">
        <f t="shared" si="30"/>
        <v>0.20504531722054381</v>
      </c>
      <c r="G349" s="14">
        <f t="shared" si="31"/>
        <v>7.0838469184890659E-2</v>
      </c>
    </row>
    <row r="350" spans="1:7" ht="26.25" customHeight="1" outlineLevel="3" x14ac:dyDescent="0.25">
      <c r="A350" s="10" t="s">
        <v>16</v>
      </c>
      <c r="B350" s="11">
        <v>6000</v>
      </c>
      <c r="C350" s="11"/>
      <c r="D350" s="12"/>
      <c r="E350" s="12"/>
      <c r="F350" s="14">
        <v>0</v>
      </c>
      <c r="G350" s="14">
        <f t="shared" si="31"/>
        <v>0</v>
      </c>
    </row>
    <row r="351" spans="1:7" ht="14.25" customHeight="1" outlineLevel="1" x14ac:dyDescent="0.25">
      <c r="A351" s="28" t="s">
        <v>75</v>
      </c>
      <c r="B351" s="22">
        <v>117650</v>
      </c>
      <c r="C351" s="38"/>
      <c r="D351" s="38"/>
      <c r="E351" s="38"/>
      <c r="F351" s="23">
        <v>0</v>
      </c>
      <c r="G351" s="23">
        <f t="shared" si="31"/>
        <v>0</v>
      </c>
    </row>
    <row r="352" spans="1:7" ht="27.75" customHeight="1" outlineLevel="2" x14ac:dyDescent="0.25">
      <c r="A352" s="5" t="s">
        <v>23</v>
      </c>
      <c r="B352" s="6">
        <v>117650</v>
      </c>
      <c r="C352" s="15"/>
      <c r="D352" s="15"/>
      <c r="E352" s="15"/>
      <c r="F352" s="7">
        <v>0</v>
      </c>
      <c r="G352" s="7">
        <f t="shared" si="31"/>
        <v>0</v>
      </c>
    </row>
    <row r="353" spans="1:7" ht="15.75" customHeight="1" outlineLevel="3" x14ac:dyDescent="0.25">
      <c r="A353" s="10" t="s">
        <v>40</v>
      </c>
      <c r="B353" s="11">
        <v>117650</v>
      </c>
      <c r="C353" s="12"/>
      <c r="D353" s="12"/>
      <c r="E353" s="12"/>
      <c r="F353" s="14">
        <v>0</v>
      </c>
      <c r="G353" s="14">
        <f t="shared" si="31"/>
        <v>0</v>
      </c>
    </row>
    <row r="354" spans="1:7" ht="26.1" customHeight="1" outlineLevel="1" x14ac:dyDescent="0.25">
      <c r="A354" s="28" t="s">
        <v>76</v>
      </c>
      <c r="B354" s="22">
        <v>10470123</v>
      </c>
      <c r="C354" s="22">
        <v>3328162</v>
      </c>
      <c r="D354" s="22">
        <v>1886455.18</v>
      </c>
      <c r="E354" s="22">
        <v>1885655.18</v>
      </c>
      <c r="F354" s="23">
        <f t="shared" ref="F354:F385" si="32">D354/C354</f>
        <v>0.56681591220619665</v>
      </c>
      <c r="G354" s="23">
        <f t="shared" si="31"/>
        <v>0.18017507339694097</v>
      </c>
    </row>
    <row r="355" spans="1:7" ht="14.25" customHeight="1" outlineLevel="2" x14ac:dyDescent="0.25">
      <c r="A355" s="5" t="s">
        <v>41</v>
      </c>
      <c r="B355" s="6">
        <v>4557928</v>
      </c>
      <c r="C355" s="6">
        <v>1052948</v>
      </c>
      <c r="D355" s="6">
        <v>812417.29</v>
      </c>
      <c r="E355" s="6">
        <v>811617.29</v>
      </c>
      <c r="F355" s="7">
        <f t="shared" si="32"/>
        <v>0.77156449321334009</v>
      </c>
      <c r="G355" s="7">
        <f t="shared" si="31"/>
        <v>0.17824267737445612</v>
      </c>
    </row>
    <row r="356" spans="1:7" ht="15.75" customHeight="1" outlineLevel="3" x14ac:dyDescent="0.25">
      <c r="A356" s="10" t="s">
        <v>9</v>
      </c>
      <c r="B356" s="11">
        <v>2867866</v>
      </c>
      <c r="C356" s="11">
        <v>647700</v>
      </c>
      <c r="D356" s="11">
        <v>536595.42000000004</v>
      </c>
      <c r="E356" s="11">
        <v>536595.42000000004</v>
      </c>
      <c r="F356" s="14">
        <f t="shared" si="32"/>
        <v>0.82846289949050489</v>
      </c>
      <c r="G356" s="14">
        <f t="shared" si="31"/>
        <v>0.18710616883773512</v>
      </c>
    </row>
    <row r="357" spans="1:7" ht="15.75" customHeight="1" outlineLevel="3" x14ac:dyDescent="0.25">
      <c r="A357" s="10" t="s">
        <v>10</v>
      </c>
      <c r="B357" s="11">
        <v>630930</v>
      </c>
      <c r="C357" s="11">
        <v>142494</v>
      </c>
      <c r="D357" s="11">
        <v>110404.61</v>
      </c>
      <c r="E357" s="11">
        <v>110404.61</v>
      </c>
      <c r="F357" s="14">
        <f t="shared" si="32"/>
        <v>0.7748018162168232</v>
      </c>
      <c r="G357" s="14">
        <f t="shared" si="31"/>
        <v>0.17498709841028323</v>
      </c>
    </row>
    <row r="358" spans="1:7" ht="15.75" customHeight="1" outlineLevel="3" x14ac:dyDescent="0.25">
      <c r="A358" s="10" t="s">
        <v>11</v>
      </c>
      <c r="B358" s="11">
        <v>409500</v>
      </c>
      <c r="C358" s="11">
        <v>20000</v>
      </c>
      <c r="D358" s="11">
        <v>15772.1</v>
      </c>
      <c r="E358" s="11">
        <v>15772.1</v>
      </c>
      <c r="F358" s="14">
        <f t="shared" si="32"/>
        <v>0.788605</v>
      </c>
      <c r="G358" s="14">
        <f t="shared" si="31"/>
        <v>3.8515506715506714E-2</v>
      </c>
    </row>
    <row r="359" spans="1:7" ht="15.75" customHeight="1" outlineLevel="3" x14ac:dyDescent="0.25">
      <c r="A359" s="10" t="s">
        <v>12</v>
      </c>
      <c r="B359" s="11">
        <v>300600</v>
      </c>
      <c r="C359" s="11">
        <v>105000</v>
      </c>
      <c r="D359" s="11">
        <v>28063.03</v>
      </c>
      <c r="E359" s="11">
        <v>28063.03</v>
      </c>
      <c r="F359" s="14">
        <f t="shared" si="32"/>
        <v>0.26726695238095238</v>
      </c>
      <c r="G359" s="14">
        <f t="shared" si="31"/>
        <v>9.3356719893546242E-2</v>
      </c>
    </row>
    <row r="360" spans="1:7" ht="15.75" customHeight="1" outlineLevel="3" x14ac:dyDescent="0.25">
      <c r="A360" s="10" t="s">
        <v>13</v>
      </c>
      <c r="B360" s="11">
        <v>192719</v>
      </c>
      <c r="C360" s="11">
        <v>113504</v>
      </c>
      <c r="D360" s="11">
        <v>104452.71</v>
      </c>
      <c r="E360" s="11">
        <v>104452.71</v>
      </c>
      <c r="F360" s="14">
        <f t="shared" si="32"/>
        <v>0.92025576191147451</v>
      </c>
      <c r="G360" s="14">
        <f t="shared" si="31"/>
        <v>0.54199487336484731</v>
      </c>
    </row>
    <row r="361" spans="1:7" ht="15.75" customHeight="1" outlineLevel="3" x14ac:dyDescent="0.25">
      <c r="A361" s="10" t="s">
        <v>14</v>
      </c>
      <c r="B361" s="11">
        <v>15549</v>
      </c>
      <c r="C361" s="11">
        <v>4250</v>
      </c>
      <c r="D361" s="11">
        <v>4186.53</v>
      </c>
      <c r="E361" s="11">
        <v>4186.53</v>
      </c>
      <c r="F361" s="14">
        <f t="shared" si="32"/>
        <v>0.98506588235294112</v>
      </c>
      <c r="G361" s="14">
        <f t="shared" si="31"/>
        <v>0.26924754003472889</v>
      </c>
    </row>
    <row r="362" spans="1:7" ht="15.75" customHeight="1" outlineLevel="3" x14ac:dyDescent="0.25">
      <c r="A362" s="10" t="s">
        <v>15</v>
      </c>
      <c r="B362" s="11">
        <v>137764</v>
      </c>
      <c r="C362" s="11">
        <v>17000</v>
      </c>
      <c r="D362" s="11">
        <v>12142.89</v>
      </c>
      <c r="E362" s="11">
        <v>12142.89</v>
      </c>
      <c r="F362" s="14">
        <f t="shared" si="32"/>
        <v>0.71428764705882353</v>
      </c>
      <c r="G362" s="14">
        <f t="shared" si="31"/>
        <v>8.8142693301588221E-2</v>
      </c>
    </row>
    <row r="363" spans="1:7" ht="24" customHeight="1" outlineLevel="3" x14ac:dyDescent="0.25">
      <c r="A363" s="10" t="s">
        <v>16</v>
      </c>
      <c r="B363" s="11">
        <v>3000</v>
      </c>
      <c r="C363" s="11">
        <v>3000</v>
      </c>
      <c r="D363" s="13">
        <v>800</v>
      </c>
      <c r="E363" s="12"/>
      <c r="F363" s="14">
        <f t="shared" si="32"/>
        <v>0.26666666666666666</v>
      </c>
      <c r="G363" s="14">
        <f t="shared" si="31"/>
        <v>0.26666666666666666</v>
      </c>
    </row>
    <row r="364" spans="1:7" ht="24.75" customHeight="1" outlineLevel="2" x14ac:dyDescent="0.25">
      <c r="A364" s="5" t="s">
        <v>42</v>
      </c>
      <c r="B364" s="6">
        <v>5912195</v>
      </c>
      <c r="C364" s="6">
        <v>2275214</v>
      </c>
      <c r="D364" s="6">
        <v>1074037.8899999999</v>
      </c>
      <c r="E364" s="6">
        <v>1074037.8899999999</v>
      </c>
      <c r="F364" s="7">
        <f t="shared" si="32"/>
        <v>0.47206016225286934</v>
      </c>
      <c r="G364" s="7">
        <f t="shared" si="31"/>
        <v>0.18166482837592465</v>
      </c>
    </row>
    <row r="365" spans="1:7" ht="15" customHeight="1" outlineLevel="3" x14ac:dyDescent="0.25">
      <c r="A365" s="10" t="s">
        <v>9</v>
      </c>
      <c r="B365" s="11">
        <v>3624012</v>
      </c>
      <c r="C365" s="11">
        <v>858700</v>
      </c>
      <c r="D365" s="11">
        <v>775860.4</v>
      </c>
      <c r="E365" s="11">
        <v>775860.4</v>
      </c>
      <c r="F365" s="14">
        <f t="shared" si="32"/>
        <v>0.9035290555490858</v>
      </c>
      <c r="G365" s="14">
        <f t="shared" si="31"/>
        <v>0.21408880544545658</v>
      </c>
    </row>
    <row r="366" spans="1:7" ht="15" customHeight="1" outlineLevel="3" x14ac:dyDescent="0.25">
      <c r="A366" s="10" t="s">
        <v>10</v>
      </c>
      <c r="B366" s="11">
        <v>797283</v>
      </c>
      <c r="C366" s="11">
        <v>188914</v>
      </c>
      <c r="D366" s="11">
        <v>168602.03</v>
      </c>
      <c r="E366" s="11">
        <v>168602.03</v>
      </c>
      <c r="F366" s="14">
        <f t="shared" si="32"/>
        <v>0.89248033496723378</v>
      </c>
      <c r="G366" s="14">
        <f t="shared" si="31"/>
        <v>0.21147074501776658</v>
      </c>
    </row>
    <row r="367" spans="1:7" ht="15" customHeight="1" outlineLevel="3" x14ac:dyDescent="0.25">
      <c r="A367" s="10" t="s">
        <v>11</v>
      </c>
      <c r="B367" s="11">
        <v>290500</v>
      </c>
      <c r="C367" s="11">
        <v>290500</v>
      </c>
      <c r="D367" s="11">
        <v>21600</v>
      </c>
      <c r="E367" s="11">
        <v>21600</v>
      </c>
      <c r="F367" s="14">
        <f t="shared" si="32"/>
        <v>7.4354561101549047E-2</v>
      </c>
      <c r="G367" s="14">
        <f t="shared" si="31"/>
        <v>7.4354561101549047E-2</v>
      </c>
    </row>
    <row r="368" spans="1:7" ht="15" customHeight="1" outlineLevel="3" x14ac:dyDescent="0.25">
      <c r="A368" s="10" t="s">
        <v>12</v>
      </c>
      <c r="B368" s="11">
        <v>899400</v>
      </c>
      <c r="C368" s="11">
        <v>800000</v>
      </c>
      <c r="D368" s="11">
        <v>39849.5</v>
      </c>
      <c r="E368" s="11">
        <v>39849.5</v>
      </c>
      <c r="F368" s="14">
        <f t="shared" si="32"/>
        <v>4.9811874999999999E-2</v>
      </c>
      <c r="G368" s="14">
        <f t="shared" si="31"/>
        <v>4.4306760062263729E-2</v>
      </c>
    </row>
    <row r="369" spans="1:7" ht="15" customHeight="1" outlineLevel="3" x14ac:dyDescent="0.25">
      <c r="A369" s="10" t="s">
        <v>13</v>
      </c>
      <c r="B369" s="11">
        <v>203000</v>
      </c>
      <c r="C369" s="11">
        <v>86900</v>
      </c>
      <c r="D369" s="11">
        <v>23383.4</v>
      </c>
      <c r="E369" s="11">
        <v>23383.4</v>
      </c>
      <c r="F369" s="14">
        <f t="shared" si="32"/>
        <v>0.26908400460299198</v>
      </c>
      <c r="G369" s="14">
        <f t="shared" si="31"/>
        <v>0.11518916256157637</v>
      </c>
    </row>
    <row r="370" spans="1:7" ht="15" customHeight="1" outlineLevel="3" x14ac:dyDescent="0.25">
      <c r="A370" s="10" t="s">
        <v>14</v>
      </c>
      <c r="B370" s="11">
        <v>20000</v>
      </c>
      <c r="C370" s="11">
        <v>5100</v>
      </c>
      <c r="D370" s="11">
        <v>2723.7</v>
      </c>
      <c r="E370" s="11">
        <v>2723.7</v>
      </c>
      <c r="F370" s="14">
        <f t="shared" si="32"/>
        <v>0.5340588235294117</v>
      </c>
      <c r="G370" s="14">
        <f t="shared" si="31"/>
        <v>0.136185</v>
      </c>
    </row>
    <row r="371" spans="1:7" ht="15" customHeight="1" outlineLevel="3" x14ac:dyDescent="0.25">
      <c r="A371" s="10" t="s">
        <v>15</v>
      </c>
      <c r="B371" s="11">
        <v>75000</v>
      </c>
      <c r="C371" s="11">
        <v>42100</v>
      </c>
      <c r="D371" s="11">
        <v>42018.86</v>
      </c>
      <c r="E371" s="11">
        <v>42018.86</v>
      </c>
      <c r="F371" s="14">
        <f t="shared" si="32"/>
        <v>0.99807268408551075</v>
      </c>
      <c r="G371" s="14">
        <f t="shared" si="31"/>
        <v>0.5602514666666667</v>
      </c>
    </row>
    <row r="372" spans="1:7" ht="27.75" customHeight="1" outlineLevel="3" x14ac:dyDescent="0.25">
      <c r="A372" s="10" t="s">
        <v>16</v>
      </c>
      <c r="B372" s="11">
        <v>3000</v>
      </c>
      <c r="C372" s="11">
        <v>3000</v>
      </c>
      <c r="D372" s="12"/>
      <c r="E372" s="12"/>
      <c r="F372" s="14">
        <f t="shared" si="32"/>
        <v>0</v>
      </c>
      <c r="G372" s="14">
        <f t="shared" si="31"/>
        <v>0</v>
      </c>
    </row>
    <row r="373" spans="1:7" ht="26.1" customHeight="1" outlineLevel="1" x14ac:dyDescent="0.25">
      <c r="A373" s="28" t="s">
        <v>77</v>
      </c>
      <c r="B373" s="22">
        <v>5791281</v>
      </c>
      <c r="C373" s="22">
        <v>1975620</v>
      </c>
      <c r="D373" s="22">
        <v>1975620</v>
      </c>
      <c r="E373" s="22">
        <v>1975620</v>
      </c>
      <c r="F373" s="23">
        <f t="shared" si="32"/>
        <v>1</v>
      </c>
      <c r="G373" s="23">
        <f t="shared" si="31"/>
        <v>0.34113696089000001</v>
      </c>
    </row>
    <row r="374" spans="1:7" ht="26.25" customHeight="1" outlineLevel="2" x14ac:dyDescent="0.25">
      <c r="A374" s="5" t="s">
        <v>41</v>
      </c>
      <c r="B374" s="6">
        <v>2528513</v>
      </c>
      <c r="C374" s="6">
        <v>862556</v>
      </c>
      <c r="D374" s="6">
        <v>862556</v>
      </c>
      <c r="E374" s="6">
        <v>862556</v>
      </c>
      <c r="F374" s="7">
        <f t="shared" si="32"/>
        <v>1</v>
      </c>
      <c r="G374" s="7">
        <f t="shared" si="31"/>
        <v>0.3411317244562318</v>
      </c>
    </row>
    <row r="375" spans="1:7" ht="16.5" customHeight="1" outlineLevel="3" x14ac:dyDescent="0.25">
      <c r="A375" s="10" t="s">
        <v>9</v>
      </c>
      <c r="B375" s="11">
        <v>2072552</v>
      </c>
      <c r="C375" s="11">
        <v>707013</v>
      </c>
      <c r="D375" s="11">
        <v>707013</v>
      </c>
      <c r="E375" s="11">
        <v>707013</v>
      </c>
      <c r="F375" s="14">
        <f t="shared" si="32"/>
        <v>1</v>
      </c>
      <c r="G375" s="14">
        <f t="shared" si="31"/>
        <v>0.34113160972559436</v>
      </c>
    </row>
    <row r="376" spans="1:7" ht="16.5" customHeight="1" outlineLevel="3" x14ac:dyDescent="0.25">
      <c r="A376" s="10" t="s">
        <v>10</v>
      </c>
      <c r="B376" s="11">
        <v>455961</v>
      </c>
      <c r="C376" s="11">
        <v>155543</v>
      </c>
      <c r="D376" s="11">
        <v>155543</v>
      </c>
      <c r="E376" s="11">
        <v>155543</v>
      </c>
      <c r="F376" s="14">
        <f t="shared" si="32"/>
        <v>1</v>
      </c>
      <c r="G376" s="14">
        <f t="shared" si="31"/>
        <v>0.34113224595963249</v>
      </c>
    </row>
    <row r="377" spans="1:7" ht="24.75" customHeight="1" outlineLevel="2" x14ac:dyDescent="0.25">
      <c r="A377" s="5" t="s">
        <v>42</v>
      </c>
      <c r="B377" s="6">
        <v>3262768</v>
      </c>
      <c r="C377" s="6">
        <v>1113064</v>
      </c>
      <c r="D377" s="6">
        <v>1113064</v>
      </c>
      <c r="E377" s="6">
        <v>1113064</v>
      </c>
      <c r="F377" s="7">
        <f t="shared" si="32"/>
        <v>1</v>
      </c>
      <c r="G377" s="7">
        <f t="shared" si="31"/>
        <v>0.34114101891400184</v>
      </c>
    </row>
    <row r="378" spans="1:7" ht="16.5" customHeight="1" outlineLevel="3" x14ac:dyDescent="0.25">
      <c r="A378" s="10" t="s">
        <v>9</v>
      </c>
      <c r="B378" s="11">
        <v>2674400</v>
      </c>
      <c r="C378" s="11">
        <v>912348</v>
      </c>
      <c r="D378" s="11">
        <v>912348</v>
      </c>
      <c r="E378" s="11">
        <v>912348</v>
      </c>
      <c r="F378" s="14">
        <f t="shared" si="32"/>
        <v>1</v>
      </c>
      <c r="G378" s="14">
        <f t="shared" si="31"/>
        <v>0.34114119054741249</v>
      </c>
    </row>
    <row r="379" spans="1:7" ht="16.5" customHeight="1" outlineLevel="3" x14ac:dyDescent="0.25">
      <c r="A379" s="10" t="s">
        <v>10</v>
      </c>
      <c r="B379" s="11">
        <v>588368</v>
      </c>
      <c r="C379" s="11">
        <v>200716</v>
      </c>
      <c r="D379" s="11">
        <v>200716</v>
      </c>
      <c r="E379" s="11">
        <v>200716</v>
      </c>
      <c r="F379" s="14">
        <f t="shared" si="32"/>
        <v>1</v>
      </c>
      <c r="G379" s="14">
        <f t="shared" si="31"/>
        <v>0.34114023876213528</v>
      </c>
    </row>
    <row r="380" spans="1:7" ht="66" customHeight="1" outlineLevel="1" x14ac:dyDescent="0.25">
      <c r="A380" s="28" t="s">
        <v>123</v>
      </c>
      <c r="B380" s="22">
        <v>3286500</v>
      </c>
      <c r="C380" s="22">
        <f>C381+C384+C387+C390+C393+C396</f>
        <v>1637300</v>
      </c>
      <c r="D380" s="22">
        <v>1637300</v>
      </c>
      <c r="E380" s="38"/>
      <c r="F380" s="23">
        <f t="shared" si="32"/>
        <v>1</v>
      </c>
      <c r="G380" s="23">
        <f t="shared" si="31"/>
        <v>0.4981895633652822</v>
      </c>
    </row>
    <row r="381" spans="1:7" ht="26.25" customHeight="1" outlineLevel="2" x14ac:dyDescent="0.25">
      <c r="A381" s="5" t="s">
        <v>28</v>
      </c>
      <c r="B381" s="6">
        <v>220853</v>
      </c>
      <c r="C381" s="6">
        <v>110031</v>
      </c>
      <c r="D381" s="6">
        <v>110031</v>
      </c>
      <c r="E381" s="15"/>
      <c r="F381" s="7">
        <f t="shared" si="32"/>
        <v>1</v>
      </c>
      <c r="G381" s="7">
        <f t="shared" si="31"/>
        <v>0.49820921608490715</v>
      </c>
    </row>
    <row r="382" spans="1:7" ht="16.5" customHeight="1" outlineLevel="3" x14ac:dyDescent="0.25">
      <c r="A382" s="10" t="s">
        <v>9</v>
      </c>
      <c r="B382" s="11">
        <v>181027</v>
      </c>
      <c r="C382" s="11">
        <v>90189</v>
      </c>
      <c r="D382" s="11">
        <v>90189</v>
      </c>
      <c r="E382" s="12"/>
      <c r="F382" s="14">
        <f t="shared" si="32"/>
        <v>1</v>
      </c>
      <c r="G382" s="14">
        <f t="shared" si="31"/>
        <v>0.49820744971744546</v>
      </c>
    </row>
    <row r="383" spans="1:7" ht="16.5" customHeight="1" outlineLevel="3" x14ac:dyDescent="0.25">
      <c r="A383" s="10" t="s">
        <v>10</v>
      </c>
      <c r="B383" s="11">
        <v>39826</v>
      </c>
      <c r="C383" s="11">
        <v>19842</v>
      </c>
      <c r="D383" s="11">
        <v>19842</v>
      </c>
      <c r="E383" s="12"/>
      <c r="F383" s="14">
        <f t="shared" si="32"/>
        <v>1</v>
      </c>
      <c r="G383" s="14">
        <f t="shared" si="31"/>
        <v>0.49821724501581882</v>
      </c>
    </row>
    <row r="384" spans="1:7" ht="16.5" customHeight="1" outlineLevel="2" x14ac:dyDescent="0.25">
      <c r="A384" s="5" t="s">
        <v>33</v>
      </c>
      <c r="B384" s="6">
        <v>137675</v>
      </c>
      <c r="C384" s="6">
        <v>68588</v>
      </c>
      <c r="D384" s="6">
        <v>68588</v>
      </c>
      <c r="E384" s="15"/>
      <c r="F384" s="7">
        <f t="shared" si="32"/>
        <v>1</v>
      </c>
      <c r="G384" s="7">
        <f t="shared" si="31"/>
        <v>0.49818776103141454</v>
      </c>
    </row>
    <row r="385" spans="1:7" ht="16.5" customHeight="1" outlineLevel="3" x14ac:dyDescent="0.25">
      <c r="A385" s="10" t="s">
        <v>9</v>
      </c>
      <c r="B385" s="11">
        <v>112848</v>
      </c>
      <c r="C385" s="11">
        <v>56220</v>
      </c>
      <c r="D385" s="11">
        <v>56220</v>
      </c>
      <c r="E385" s="12"/>
      <c r="F385" s="14">
        <f t="shared" si="32"/>
        <v>1</v>
      </c>
      <c r="G385" s="14">
        <f t="shared" si="31"/>
        <v>0.49819225861335603</v>
      </c>
    </row>
    <row r="386" spans="1:7" ht="16.5" customHeight="1" outlineLevel="3" x14ac:dyDescent="0.25">
      <c r="A386" s="10" t="s">
        <v>10</v>
      </c>
      <c r="B386" s="11">
        <v>24827</v>
      </c>
      <c r="C386" s="11">
        <v>12368</v>
      </c>
      <c r="D386" s="11">
        <v>12368</v>
      </c>
      <c r="E386" s="12"/>
      <c r="F386" s="14">
        <f t="shared" ref="F386:F417" si="33">D386/C386</f>
        <v>1</v>
      </c>
      <c r="G386" s="14">
        <f t="shared" si="31"/>
        <v>0.49816731783944901</v>
      </c>
    </row>
    <row r="387" spans="1:7" ht="16.5" customHeight="1" outlineLevel="2" x14ac:dyDescent="0.25">
      <c r="A387" s="5" t="s">
        <v>30</v>
      </c>
      <c r="B387" s="6">
        <v>8605</v>
      </c>
      <c r="C387" s="6">
        <v>4288</v>
      </c>
      <c r="D387" s="6">
        <v>4288</v>
      </c>
      <c r="E387" s="15"/>
      <c r="F387" s="7">
        <f t="shared" si="33"/>
        <v>1</v>
      </c>
      <c r="G387" s="7">
        <f t="shared" si="31"/>
        <v>0.49831493317838466</v>
      </c>
    </row>
    <row r="388" spans="1:7" ht="16.5" customHeight="1" outlineLevel="3" x14ac:dyDescent="0.25">
      <c r="A388" s="10" t="s">
        <v>9</v>
      </c>
      <c r="B388" s="11">
        <v>7053</v>
      </c>
      <c r="C388" s="11">
        <v>3514</v>
      </c>
      <c r="D388" s="11">
        <v>3514</v>
      </c>
      <c r="E388" s="12"/>
      <c r="F388" s="14">
        <f t="shared" si="33"/>
        <v>1</v>
      </c>
      <c r="G388" s="14">
        <f t="shared" si="31"/>
        <v>0.49822770452289805</v>
      </c>
    </row>
    <row r="389" spans="1:7" ht="16.5" customHeight="1" outlineLevel="3" x14ac:dyDescent="0.25">
      <c r="A389" s="10" t="s">
        <v>10</v>
      </c>
      <c r="B389" s="11">
        <v>1552</v>
      </c>
      <c r="C389" s="13">
        <v>774</v>
      </c>
      <c r="D389" s="13">
        <v>774</v>
      </c>
      <c r="E389" s="12"/>
      <c r="F389" s="14">
        <f t="shared" si="33"/>
        <v>1</v>
      </c>
      <c r="G389" s="14">
        <f t="shared" si="31"/>
        <v>0.49871134020618557</v>
      </c>
    </row>
    <row r="390" spans="1:7" ht="26.25" customHeight="1" outlineLevel="2" x14ac:dyDescent="0.25">
      <c r="A390" s="5" t="s">
        <v>35</v>
      </c>
      <c r="B390" s="6">
        <v>51628</v>
      </c>
      <c r="C390" s="6">
        <v>25720</v>
      </c>
      <c r="D390" s="6">
        <v>25720</v>
      </c>
      <c r="E390" s="15"/>
      <c r="F390" s="7">
        <f t="shared" si="33"/>
        <v>1</v>
      </c>
      <c r="G390" s="7">
        <f t="shared" si="31"/>
        <v>0.49817928255985122</v>
      </c>
    </row>
    <row r="391" spans="1:7" ht="16.5" customHeight="1" outlineLevel="3" x14ac:dyDescent="0.25">
      <c r="A391" s="10" t="s">
        <v>9</v>
      </c>
      <c r="B391" s="11">
        <v>42318</v>
      </c>
      <c r="C391" s="11">
        <v>21082</v>
      </c>
      <c r="D391" s="11">
        <v>21082</v>
      </c>
      <c r="E391" s="12"/>
      <c r="F391" s="14">
        <f t="shared" si="33"/>
        <v>1</v>
      </c>
      <c r="G391" s="14">
        <f t="shared" si="31"/>
        <v>0.49818044331017536</v>
      </c>
    </row>
    <row r="392" spans="1:7" ht="16.5" customHeight="1" outlineLevel="3" x14ac:dyDescent="0.25">
      <c r="A392" s="10" t="s">
        <v>10</v>
      </c>
      <c r="B392" s="11">
        <v>9310</v>
      </c>
      <c r="C392" s="11">
        <v>4638</v>
      </c>
      <c r="D392" s="11">
        <v>4638</v>
      </c>
      <c r="E392" s="12"/>
      <c r="F392" s="14">
        <f t="shared" si="33"/>
        <v>1</v>
      </c>
      <c r="G392" s="14">
        <f t="shared" si="31"/>
        <v>0.49817400644468313</v>
      </c>
    </row>
    <row r="393" spans="1:7" ht="26.25" customHeight="1" outlineLevel="2" x14ac:dyDescent="0.25">
      <c r="A393" s="5" t="s">
        <v>23</v>
      </c>
      <c r="B393" s="6">
        <v>2818979</v>
      </c>
      <c r="C393" s="6">
        <f>C394+C395</f>
        <v>1404382</v>
      </c>
      <c r="D393" s="6">
        <v>1404382</v>
      </c>
      <c r="E393" s="15"/>
      <c r="F393" s="7">
        <f t="shared" si="33"/>
        <v>1</v>
      </c>
      <c r="G393" s="7">
        <f t="shared" si="31"/>
        <v>0.49818817380335223</v>
      </c>
    </row>
    <row r="394" spans="1:7" ht="13.5" customHeight="1" outlineLevel="3" x14ac:dyDescent="0.25">
      <c r="A394" s="10" t="s">
        <v>9</v>
      </c>
      <c r="B394" s="11">
        <v>2310687</v>
      </c>
      <c r="C394" s="11">
        <f>1342100-C382-C385-C388-C391-C397</f>
        <v>1151184</v>
      </c>
      <c r="D394" s="11">
        <v>1151184</v>
      </c>
      <c r="E394" s="12"/>
      <c r="F394" s="14">
        <f t="shared" si="33"/>
        <v>1</v>
      </c>
      <c r="G394" s="14">
        <f t="shared" si="31"/>
        <v>0.49819988600792753</v>
      </c>
    </row>
    <row r="395" spans="1:7" ht="13.5" customHeight="1" outlineLevel="3" x14ac:dyDescent="0.25">
      <c r="A395" s="10" t="s">
        <v>10</v>
      </c>
      <c r="B395" s="11">
        <v>508292</v>
      </c>
      <c r="C395" s="11">
        <f>295200-C383-C386-C389-C392-C398</f>
        <v>253198</v>
      </c>
      <c r="D395" s="11">
        <v>253198</v>
      </c>
      <c r="E395" s="12"/>
      <c r="F395" s="14">
        <f t="shared" si="33"/>
        <v>1</v>
      </c>
      <c r="G395" s="14">
        <f t="shared" si="31"/>
        <v>0.49813493031564532</v>
      </c>
    </row>
    <row r="396" spans="1:7" ht="13.5" customHeight="1" outlineLevel="2" x14ac:dyDescent="0.25">
      <c r="A396" s="5" t="s">
        <v>36</v>
      </c>
      <c r="B396" s="6">
        <v>48760</v>
      </c>
      <c r="C396" s="6">
        <v>24291</v>
      </c>
      <c r="D396" s="6">
        <v>24291</v>
      </c>
      <c r="E396" s="15"/>
      <c r="F396" s="7">
        <f t="shared" si="33"/>
        <v>1</v>
      </c>
      <c r="G396" s="7">
        <f t="shared" si="31"/>
        <v>0.49817473338802298</v>
      </c>
    </row>
    <row r="397" spans="1:7" ht="13.5" customHeight="1" outlineLevel="3" x14ac:dyDescent="0.25">
      <c r="A397" s="10" t="s">
        <v>9</v>
      </c>
      <c r="B397" s="11">
        <v>39967</v>
      </c>
      <c r="C397" s="11">
        <v>19911</v>
      </c>
      <c r="D397" s="11">
        <v>19911</v>
      </c>
      <c r="E397" s="12"/>
      <c r="F397" s="14">
        <f t="shared" si="33"/>
        <v>1</v>
      </c>
      <c r="G397" s="14">
        <f t="shared" si="31"/>
        <v>0.49818600345284858</v>
      </c>
    </row>
    <row r="398" spans="1:7" ht="13.5" customHeight="1" outlineLevel="3" x14ac:dyDescent="0.25">
      <c r="A398" s="10" t="s">
        <v>10</v>
      </c>
      <c r="B398" s="11">
        <v>8793</v>
      </c>
      <c r="C398" s="11">
        <v>4380</v>
      </c>
      <c r="D398" s="11">
        <v>4380</v>
      </c>
      <c r="E398" s="12"/>
      <c r="F398" s="14">
        <f t="shared" si="33"/>
        <v>1</v>
      </c>
      <c r="G398" s="14">
        <f t="shared" si="31"/>
        <v>0.49812350733538041</v>
      </c>
    </row>
    <row r="399" spans="1:7" ht="50.25" customHeight="1" outlineLevel="1" x14ac:dyDescent="0.25">
      <c r="A399" s="28" t="s">
        <v>116</v>
      </c>
      <c r="B399" s="22">
        <v>19195268</v>
      </c>
      <c r="C399" s="22">
        <v>5673000</v>
      </c>
      <c r="D399" s="38"/>
      <c r="E399" s="38"/>
      <c r="F399" s="23">
        <f t="shared" si="33"/>
        <v>0</v>
      </c>
      <c r="G399" s="23">
        <f t="shared" si="31"/>
        <v>0</v>
      </c>
    </row>
    <row r="400" spans="1:7" s="78" customFormat="1" ht="27.75" customHeight="1" outlineLevel="2" x14ac:dyDescent="0.25">
      <c r="A400" s="8" t="s">
        <v>23</v>
      </c>
      <c r="B400" s="9">
        <v>19195268</v>
      </c>
      <c r="C400" s="9">
        <v>5673000</v>
      </c>
      <c r="D400" s="80"/>
      <c r="E400" s="80"/>
      <c r="F400" s="16">
        <f t="shared" si="33"/>
        <v>0</v>
      </c>
      <c r="G400" s="16">
        <f t="shared" si="31"/>
        <v>0</v>
      </c>
    </row>
    <row r="401" spans="1:7" ht="16.5" customHeight="1" outlineLevel="3" x14ac:dyDescent="0.25">
      <c r="A401" s="10" t="s">
        <v>57</v>
      </c>
      <c r="B401" s="11">
        <v>19195268</v>
      </c>
      <c r="C401" s="11">
        <v>5673000</v>
      </c>
      <c r="D401" s="12"/>
      <c r="E401" s="12"/>
      <c r="F401" s="14">
        <f t="shared" si="33"/>
        <v>0</v>
      </c>
      <c r="G401" s="14">
        <f t="shared" si="31"/>
        <v>0</v>
      </c>
    </row>
    <row r="402" spans="1:7" ht="39.75" customHeight="1" outlineLevel="1" x14ac:dyDescent="0.25">
      <c r="A402" s="28" t="s">
        <v>78</v>
      </c>
      <c r="B402" s="22">
        <v>88849153</v>
      </c>
      <c r="C402" s="22">
        <f>C403+C406+C409+C412+C415+C418</f>
        <v>44424582</v>
      </c>
      <c r="D402" s="22">
        <v>44424582</v>
      </c>
      <c r="E402" s="22">
        <v>38345244.109999999</v>
      </c>
      <c r="F402" s="23">
        <f t="shared" si="33"/>
        <v>1</v>
      </c>
      <c r="G402" s="23">
        <f t="shared" si="31"/>
        <v>0.50000006190267232</v>
      </c>
    </row>
    <row r="403" spans="1:7" s="78" customFormat="1" ht="24.75" customHeight="1" outlineLevel="2" x14ac:dyDescent="0.25">
      <c r="A403" s="8" t="s">
        <v>28</v>
      </c>
      <c r="B403" s="9">
        <v>3519396</v>
      </c>
      <c r="C403" s="9">
        <v>1759698</v>
      </c>
      <c r="D403" s="9">
        <v>1759698</v>
      </c>
      <c r="E403" s="9">
        <v>1577567.88</v>
      </c>
      <c r="F403" s="16">
        <f t="shared" si="33"/>
        <v>1</v>
      </c>
      <c r="G403" s="16">
        <f t="shared" si="31"/>
        <v>0.5</v>
      </c>
    </row>
    <row r="404" spans="1:7" ht="14.25" customHeight="1" outlineLevel="3" x14ac:dyDescent="0.25">
      <c r="A404" s="10" t="s">
        <v>9</v>
      </c>
      <c r="B404" s="11">
        <v>2884752</v>
      </c>
      <c r="C404" s="11">
        <v>1442376</v>
      </c>
      <c r="D404" s="11">
        <v>1442376</v>
      </c>
      <c r="E404" s="11">
        <v>1293088.43</v>
      </c>
      <c r="F404" s="14">
        <f t="shared" si="33"/>
        <v>1</v>
      </c>
      <c r="G404" s="14">
        <f t="shared" si="31"/>
        <v>0.5</v>
      </c>
    </row>
    <row r="405" spans="1:7" ht="14.25" customHeight="1" outlineLevel="3" x14ac:dyDescent="0.25">
      <c r="A405" s="10" t="s">
        <v>10</v>
      </c>
      <c r="B405" s="11">
        <v>634644</v>
      </c>
      <c r="C405" s="11">
        <v>317322</v>
      </c>
      <c r="D405" s="11">
        <v>317322</v>
      </c>
      <c r="E405" s="11">
        <v>284479.45</v>
      </c>
      <c r="F405" s="14">
        <f t="shared" si="33"/>
        <v>1</v>
      </c>
      <c r="G405" s="14">
        <f t="shared" si="31"/>
        <v>0.5</v>
      </c>
    </row>
    <row r="406" spans="1:7" s="78" customFormat="1" ht="14.25" customHeight="1" outlineLevel="2" x14ac:dyDescent="0.25">
      <c r="A406" s="8" t="s">
        <v>33</v>
      </c>
      <c r="B406" s="9">
        <v>3754254</v>
      </c>
      <c r="C406" s="9">
        <v>1877127</v>
      </c>
      <c r="D406" s="9">
        <v>1877127</v>
      </c>
      <c r="E406" s="9">
        <v>1665602.69</v>
      </c>
      <c r="F406" s="16">
        <f t="shared" si="33"/>
        <v>1</v>
      </c>
      <c r="G406" s="16">
        <f t="shared" si="31"/>
        <v>0.5</v>
      </c>
    </row>
    <row r="407" spans="1:7" ht="14.25" customHeight="1" outlineLevel="3" x14ac:dyDescent="0.25">
      <c r="A407" s="10" t="s">
        <v>9</v>
      </c>
      <c r="B407" s="11">
        <v>3077256</v>
      </c>
      <c r="C407" s="11">
        <v>1538628</v>
      </c>
      <c r="D407" s="11">
        <v>1538628</v>
      </c>
      <c r="E407" s="11">
        <v>1365248.11</v>
      </c>
      <c r="F407" s="14">
        <f t="shared" si="33"/>
        <v>1</v>
      </c>
      <c r="G407" s="14">
        <f t="shared" si="31"/>
        <v>0.5</v>
      </c>
    </row>
    <row r="408" spans="1:7" ht="14.25" customHeight="1" outlineLevel="3" x14ac:dyDescent="0.25">
      <c r="A408" s="10" t="s">
        <v>10</v>
      </c>
      <c r="B408" s="11">
        <v>676998</v>
      </c>
      <c r="C408" s="11">
        <v>338499</v>
      </c>
      <c r="D408" s="11">
        <v>338499</v>
      </c>
      <c r="E408" s="11">
        <v>300354.58</v>
      </c>
      <c r="F408" s="14">
        <f t="shared" si="33"/>
        <v>1</v>
      </c>
      <c r="G408" s="14">
        <f t="shared" si="31"/>
        <v>0.5</v>
      </c>
    </row>
    <row r="409" spans="1:7" s="78" customFormat="1" ht="14.25" customHeight="1" outlineLevel="2" x14ac:dyDescent="0.25">
      <c r="A409" s="8" t="s">
        <v>30</v>
      </c>
      <c r="B409" s="9">
        <v>4927422</v>
      </c>
      <c r="C409" s="9">
        <v>2463711</v>
      </c>
      <c r="D409" s="9">
        <v>2463711</v>
      </c>
      <c r="E409" s="9">
        <v>2017304.05</v>
      </c>
      <c r="F409" s="16">
        <f t="shared" si="33"/>
        <v>1</v>
      </c>
      <c r="G409" s="16">
        <f t="shared" si="31"/>
        <v>0.5</v>
      </c>
    </row>
    <row r="410" spans="1:7" ht="14.25" customHeight="1" outlineLevel="3" x14ac:dyDescent="0.25">
      <c r="A410" s="10" t="s">
        <v>9</v>
      </c>
      <c r="B410" s="11">
        <v>4038870</v>
      </c>
      <c r="C410" s="11">
        <v>2019435</v>
      </c>
      <c r="D410" s="11">
        <v>2019435</v>
      </c>
      <c r="E410" s="11">
        <v>1653527.92</v>
      </c>
      <c r="F410" s="14">
        <f t="shared" si="33"/>
        <v>1</v>
      </c>
      <c r="G410" s="14">
        <f t="shared" si="31"/>
        <v>0.5</v>
      </c>
    </row>
    <row r="411" spans="1:7" ht="14.25" customHeight="1" outlineLevel="3" x14ac:dyDescent="0.25">
      <c r="A411" s="10" t="s">
        <v>10</v>
      </c>
      <c r="B411" s="11">
        <v>888552</v>
      </c>
      <c r="C411" s="11">
        <v>444276</v>
      </c>
      <c r="D411" s="11">
        <v>444276</v>
      </c>
      <c r="E411" s="11">
        <v>363776.13</v>
      </c>
      <c r="F411" s="14">
        <f t="shared" si="33"/>
        <v>1</v>
      </c>
      <c r="G411" s="14">
        <f t="shared" si="31"/>
        <v>0.5</v>
      </c>
    </row>
    <row r="412" spans="1:7" s="78" customFormat="1" ht="14.25" customHeight="1" outlineLevel="2" x14ac:dyDescent="0.25">
      <c r="A412" s="8" t="s">
        <v>35</v>
      </c>
      <c r="B412" s="9">
        <v>2221986</v>
      </c>
      <c r="C412" s="9">
        <v>1110993</v>
      </c>
      <c r="D412" s="9">
        <v>1110993</v>
      </c>
      <c r="E412" s="9">
        <v>1056358.0900000001</v>
      </c>
      <c r="F412" s="16">
        <f t="shared" si="33"/>
        <v>1</v>
      </c>
      <c r="G412" s="16">
        <f t="shared" ref="G412:G433" si="34">D412/B412</f>
        <v>0.5</v>
      </c>
    </row>
    <row r="413" spans="1:7" ht="14.25" customHeight="1" outlineLevel="3" x14ac:dyDescent="0.25">
      <c r="A413" s="10" t="s">
        <v>9</v>
      </c>
      <c r="B413" s="11">
        <v>1821300</v>
      </c>
      <c r="C413" s="11">
        <v>910650</v>
      </c>
      <c r="D413" s="11">
        <v>910650</v>
      </c>
      <c r="E413" s="11">
        <v>865867.29</v>
      </c>
      <c r="F413" s="14">
        <f t="shared" si="33"/>
        <v>1</v>
      </c>
      <c r="G413" s="14">
        <f t="shared" si="34"/>
        <v>0.5</v>
      </c>
    </row>
    <row r="414" spans="1:7" ht="14.25" customHeight="1" outlineLevel="3" x14ac:dyDescent="0.25">
      <c r="A414" s="10" t="s">
        <v>10</v>
      </c>
      <c r="B414" s="11">
        <v>400686</v>
      </c>
      <c r="C414" s="11">
        <v>200343</v>
      </c>
      <c r="D414" s="11">
        <v>200343</v>
      </c>
      <c r="E414" s="11">
        <v>190490.8</v>
      </c>
      <c r="F414" s="14">
        <f t="shared" si="33"/>
        <v>1</v>
      </c>
      <c r="G414" s="14">
        <f t="shared" si="34"/>
        <v>0.5</v>
      </c>
    </row>
    <row r="415" spans="1:7" s="78" customFormat="1" ht="25.5" customHeight="1" outlineLevel="2" x14ac:dyDescent="0.25">
      <c r="A415" s="8" t="s">
        <v>23</v>
      </c>
      <c r="B415" s="9">
        <v>69890011</v>
      </c>
      <c r="C415" s="9">
        <f>C416+C417</f>
        <v>34945011</v>
      </c>
      <c r="D415" s="9">
        <v>34945011</v>
      </c>
      <c r="E415" s="9">
        <v>30152240.879999999</v>
      </c>
      <c r="F415" s="16">
        <f t="shared" si="33"/>
        <v>1</v>
      </c>
      <c r="G415" s="16">
        <f t="shared" si="34"/>
        <v>0.5000000786950799</v>
      </c>
    </row>
    <row r="416" spans="1:7" ht="14.25" customHeight="1" outlineLevel="3" x14ac:dyDescent="0.25">
      <c r="A416" s="10" t="s">
        <v>9</v>
      </c>
      <c r="B416" s="11">
        <v>57286893</v>
      </c>
      <c r="C416" s="11">
        <f>36413592-C404-C407-C410-C413-C419</f>
        <v>28643451</v>
      </c>
      <c r="D416" s="11">
        <v>28643451</v>
      </c>
      <c r="E416" s="11">
        <v>24714951.539999999</v>
      </c>
      <c r="F416" s="14">
        <f t="shared" si="33"/>
        <v>1</v>
      </c>
      <c r="G416" s="14">
        <f t="shared" si="34"/>
        <v>0.50000007855199968</v>
      </c>
    </row>
    <row r="417" spans="1:7" ht="14.25" customHeight="1" outlineLevel="3" x14ac:dyDescent="0.25">
      <c r="A417" s="10" t="s">
        <v>10</v>
      </c>
      <c r="B417" s="11">
        <v>12603118</v>
      </c>
      <c r="C417" s="11">
        <f>8010990-C405-C408-C411-C414-C420</f>
        <v>6301560</v>
      </c>
      <c r="D417" s="11">
        <v>6301560</v>
      </c>
      <c r="E417" s="11">
        <v>5437289.3399999999</v>
      </c>
      <c r="F417" s="14">
        <f t="shared" si="33"/>
        <v>1</v>
      </c>
      <c r="G417" s="14">
        <f t="shared" si="34"/>
        <v>0.50000007934544455</v>
      </c>
    </row>
    <row r="418" spans="1:7" s="78" customFormat="1" ht="14.25" customHeight="1" outlineLevel="2" x14ac:dyDescent="0.25">
      <c r="A418" s="8" t="s">
        <v>36</v>
      </c>
      <c r="B418" s="9">
        <v>4536084</v>
      </c>
      <c r="C418" s="9">
        <v>2268042</v>
      </c>
      <c r="D418" s="9">
        <v>2268042</v>
      </c>
      <c r="E418" s="9">
        <v>1876170.52</v>
      </c>
      <c r="F418" s="16">
        <f t="shared" ref="F418:F433" si="35">D418/C418</f>
        <v>1</v>
      </c>
      <c r="G418" s="16">
        <f t="shared" si="34"/>
        <v>0.5</v>
      </c>
    </row>
    <row r="419" spans="1:7" ht="14.25" customHeight="1" outlineLevel="3" x14ac:dyDescent="0.25">
      <c r="A419" s="10" t="s">
        <v>9</v>
      </c>
      <c r="B419" s="11">
        <v>3718104</v>
      </c>
      <c r="C419" s="11">
        <v>1859052</v>
      </c>
      <c r="D419" s="11">
        <v>1859052</v>
      </c>
      <c r="E419" s="11">
        <v>1537844.68</v>
      </c>
      <c r="F419" s="14">
        <f t="shared" si="35"/>
        <v>1</v>
      </c>
      <c r="G419" s="14">
        <f t="shared" si="34"/>
        <v>0.5</v>
      </c>
    </row>
    <row r="420" spans="1:7" ht="14.25" customHeight="1" outlineLevel="3" x14ac:dyDescent="0.25">
      <c r="A420" s="10" t="s">
        <v>10</v>
      </c>
      <c r="B420" s="11">
        <v>817980</v>
      </c>
      <c r="C420" s="11">
        <v>408990</v>
      </c>
      <c r="D420" s="11">
        <v>408990</v>
      </c>
      <c r="E420" s="11">
        <v>338325.84</v>
      </c>
      <c r="F420" s="14">
        <f t="shared" si="35"/>
        <v>1</v>
      </c>
      <c r="G420" s="14">
        <f t="shared" si="34"/>
        <v>0.5</v>
      </c>
    </row>
    <row r="421" spans="1:7" ht="33.75" customHeight="1" outlineLevel="1" x14ac:dyDescent="0.25">
      <c r="A421" s="28" t="s">
        <v>93</v>
      </c>
      <c r="B421" s="22">
        <v>46361299</v>
      </c>
      <c r="C421" s="22">
        <f>C422+C424+C426+C428+C430+C432</f>
        <v>27816795</v>
      </c>
      <c r="D421" s="22">
        <v>27816795</v>
      </c>
      <c r="E421" s="22">
        <v>7832944.9299999997</v>
      </c>
      <c r="F421" s="23">
        <f t="shared" si="35"/>
        <v>1</v>
      </c>
      <c r="G421" s="23">
        <f t="shared" si="34"/>
        <v>0.6000003364875518</v>
      </c>
    </row>
    <row r="422" spans="1:7" s="78" customFormat="1" ht="28.5" customHeight="1" outlineLevel="2" x14ac:dyDescent="0.25">
      <c r="A422" s="8" t="s">
        <v>28</v>
      </c>
      <c r="B422" s="9">
        <v>1579050</v>
      </c>
      <c r="C422" s="9">
        <v>947400</v>
      </c>
      <c r="D422" s="9">
        <v>947400</v>
      </c>
      <c r="E422" s="9">
        <v>182585.92</v>
      </c>
      <c r="F422" s="16">
        <f t="shared" si="35"/>
        <v>1</v>
      </c>
      <c r="G422" s="16">
        <f t="shared" si="34"/>
        <v>0.59998100123491971</v>
      </c>
    </row>
    <row r="423" spans="1:7" ht="14.25" customHeight="1" outlineLevel="3" x14ac:dyDescent="0.25">
      <c r="A423" s="10" t="s">
        <v>34</v>
      </c>
      <c r="B423" s="11">
        <v>1579050</v>
      </c>
      <c r="C423" s="11">
        <v>947400</v>
      </c>
      <c r="D423" s="11">
        <v>947400</v>
      </c>
      <c r="E423" s="11">
        <v>182585.92</v>
      </c>
      <c r="F423" s="14">
        <f t="shared" si="35"/>
        <v>1</v>
      </c>
      <c r="G423" s="14">
        <f t="shared" si="34"/>
        <v>0.59998100123491971</v>
      </c>
    </row>
    <row r="424" spans="1:7" s="78" customFormat="1" ht="14.25" customHeight="1" outlineLevel="2" x14ac:dyDescent="0.25">
      <c r="A424" s="8" t="s">
        <v>33</v>
      </c>
      <c r="B424" s="9">
        <v>2314200</v>
      </c>
      <c r="C424" s="9">
        <v>1388550</v>
      </c>
      <c r="D424" s="9">
        <v>1388550</v>
      </c>
      <c r="E424" s="9">
        <v>318050</v>
      </c>
      <c r="F424" s="16">
        <f t="shared" si="35"/>
        <v>1</v>
      </c>
      <c r="G424" s="16">
        <f t="shared" si="34"/>
        <v>0.60001296344309052</v>
      </c>
    </row>
    <row r="425" spans="1:7" ht="14.25" customHeight="1" outlineLevel="3" x14ac:dyDescent="0.25">
      <c r="A425" s="10" t="s">
        <v>34</v>
      </c>
      <c r="B425" s="11">
        <v>2314200</v>
      </c>
      <c r="C425" s="11">
        <v>1388550</v>
      </c>
      <c r="D425" s="11">
        <v>1388550</v>
      </c>
      <c r="E425" s="11">
        <v>318050</v>
      </c>
      <c r="F425" s="14">
        <f t="shared" si="35"/>
        <v>1</v>
      </c>
      <c r="G425" s="14">
        <f t="shared" si="34"/>
        <v>0.60001296344309052</v>
      </c>
    </row>
    <row r="426" spans="1:7" s="78" customFormat="1" ht="14.25" customHeight="1" outlineLevel="2" x14ac:dyDescent="0.25">
      <c r="A426" s="8" t="s">
        <v>30</v>
      </c>
      <c r="B426" s="9">
        <v>2475150</v>
      </c>
      <c r="C426" s="9">
        <v>1485150</v>
      </c>
      <c r="D426" s="9">
        <v>1485150</v>
      </c>
      <c r="E426" s="9">
        <v>1053007.68</v>
      </c>
      <c r="F426" s="16">
        <f t="shared" si="35"/>
        <v>1</v>
      </c>
      <c r="G426" s="16">
        <f t="shared" si="34"/>
        <v>0.60002424095509366</v>
      </c>
    </row>
    <row r="427" spans="1:7" ht="14.25" customHeight="1" outlineLevel="3" x14ac:dyDescent="0.25">
      <c r="A427" s="10" t="s">
        <v>34</v>
      </c>
      <c r="B427" s="11">
        <v>2475150</v>
      </c>
      <c r="C427" s="11">
        <v>1485150</v>
      </c>
      <c r="D427" s="11">
        <v>1485150</v>
      </c>
      <c r="E427" s="11">
        <v>1053007.68</v>
      </c>
      <c r="F427" s="14">
        <f t="shared" si="35"/>
        <v>1</v>
      </c>
      <c r="G427" s="14">
        <f t="shared" si="34"/>
        <v>0.60002424095509366</v>
      </c>
    </row>
    <row r="428" spans="1:7" s="78" customFormat="1" ht="27" customHeight="1" outlineLevel="2" x14ac:dyDescent="0.25">
      <c r="A428" s="8" t="s">
        <v>35</v>
      </c>
      <c r="B428" s="9">
        <v>1653000</v>
      </c>
      <c r="C428" s="9">
        <v>991800</v>
      </c>
      <c r="D428" s="9">
        <v>991800</v>
      </c>
      <c r="E428" s="9">
        <v>363124.11</v>
      </c>
      <c r="F428" s="16">
        <f t="shared" si="35"/>
        <v>1</v>
      </c>
      <c r="G428" s="16">
        <f t="shared" si="34"/>
        <v>0.6</v>
      </c>
    </row>
    <row r="429" spans="1:7" ht="14.25" customHeight="1" outlineLevel="3" x14ac:dyDescent="0.25">
      <c r="A429" s="10" t="s">
        <v>34</v>
      </c>
      <c r="B429" s="11">
        <v>1653000</v>
      </c>
      <c r="C429" s="11">
        <v>991800</v>
      </c>
      <c r="D429" s="11">
        <v>991800</v>
      </c>
      <c r="E429" s="11">
        <v>363124.11</v>
      </c>
      <c r="F429" s="14">
        <f t="shared" si="35"/>
        <v>1</v>
      </c>
      <c r="G429" s="14">
        <f t="shared" si="34"/>
        <v>0.6</v>
      </c>
    </row>
    <row r="430" spans="1:7" s="78" customFormat="1" ht="25.5" customHeight="1" outlineLevel="2" x14ac:dyDescent="0.25">
      <c r="A430" s="8" t="s">
        <v>23</v>
      </c>
      <c r="B430" s="9">
        <v>37304599</v>
      </c>
      <c r="C430" s="9">
        <f>C431</f>
        <v>22382745</v>
      </c>
      <c r="D430" s="9">
        <v>22382745</v>
      </c>
      <c r="E430" s="9">
        <v>5671657.25</v>
      </c>
      <c r="F430" s="16">
        <f t="shared" si="35"/>
        <v>1</v>
      </c>
      <c r="G430" s="16">
        <f t="shared" si="34"/>
        <v>0.59999961398861301</v>
      </c>
    </row>
    <row r="431" spans="1:7" ht="14.25" customHeight="1" outlineLevel="3" x14ac:dyDescent="0.25">
      <c r="A431" s="10" t="s">
        <v>34</v>
      </c>
      <c r="B431" s="11">
        <v>37304599</v>
      </c>
      <c r="C431" s="11">
        <f>27816795-C432-C428-C426-C424-C422</f>
        <v>22382745</v>
      </c>
      <c r="D431" s="11">
        <v>22382745</v>
      </c>
      <c r="E431" s="11">
        <v>5671657.25</v>
      </c>
      <c r="F431" s="14">
        <f t="shared" si="35"/>
        <v>1</v>
      </c>
      <c r="G431" s="14">
        <f t="shared" si="34"/>
        <v>0.59999961398861301</v>
      </c>
    </row>
    <row r="432" spans="1:7" s="78" customFormat="1" ht="14.25" customHeight="1" outlineLevel="2" x14ac:dyDescent="0.25">
      <c r="A432" s="8" t="s">
        <v>36</v>
      </c>
      <c r="B432" s="9">
        <v>1035300</v>
      </c>
      <c r="C432" s="9">
        <v>621150</v>
      </c>
      <c r="D432" s="9">
        <v>621150</v>
      </c>
      <c r="E432" s="9">
        <v>244519.97</v>
      </c>
      <c r="F432" s="16">
        <f t="shared" si="35"/>
        <v>1</v>
      </c>
      <c r="G432" s="16">
        <f t="shared" si="34"/>
        <v>0.5999710228919154</v>
      </c>
    </row>
    <row r="433" spans="1:7" ht="14.25" customHeight="1" outlineLevel="3" x14ac:dyDescent="0.25">
      <c r="A433" s="10" t="s">
        <v>34</v>
      </c>
      <c r="B433" s="11">
        <v>1035300</v>
      </c>
      <c r="C433" s="11">
        <v>621150</v>
      </c>
      <c r="D433" s="11">
        <v>621150</v>
      </c>
      <c r="E433" s="11">
        <v>244519.97</v>
      </c>
      <c r="F433" s="14">
        <f t="shared" si="35"/>
        <v>1</v>
      </c>
      <c r="G433" s="14">
        <f t="shared" si="34"/>
        <v>0.5999710228919154</v>
      </c>
    </row>
    <row r="434" spans="1:7" s="27" customFormat="1" ht="21" customHeight="1" outlineLevel="3" x14ac:dyDescent="0.2">
      <c r="A434" s="24" t="s">
        <v>43</v>
      </c>
      <c r="B434" s="25">
        <f>B435+B449+B453+B464+B475+B478+B488</f>
        <v>102753647</v>
      </c>
      <c r="C434" s="25">
        <f t="shared" ref="C434:E434" si="36">C435+C449+C453+C464+C475+C478+C488</f>
        <v>26389205</v>
      </c>
      <c r="D434" s="25">
        <f t="shared" si="36"/>
        <v>22508491</v>
      </c>
      <c r="E434" s="25">
        <f t="shared" si="36"/>
        <v>22493814.970000003</v>
      </c>
      <c r="F434" s="26">
        <f t="shared" ref="F434" si="37">D434/C434</f>
        <v>0.85294312579708254</v>
      </c>
      <c r="G434" s="26">
        <f t="shared" ref="G434" si="38">D434/B434</f>
        <v>0.21905296461156265</v>
      </c>
    </row>
    <row r="435" spans="1:7" ht="27.75" customHeight="1" outlineLevel="1" x14ac:dyDescent="0.25">
      <c r="A435" s="28" t="s">
        <v>79</v>
      </c>
      <c r="B435" s="22">
        <v>48683076</v>
      </c>
      <c r="C435" s="22">
        <v>11890377</v>
      </c>
      <c r="D435" s="22">
        <v>10417454.789999999</v>
      </c>
      <c r="E435" s="22">
        <v>10411835.140000001</v>
      </c>
      <c r="F435" s="23">
        <f t="shared" ref="F435:F446" si="39">D435/C435</f>
        <v>0.87612485205473289</v>
      </c>
      <c r="G435" s="23">
        <f t="shared" ref="G435:G466" si="40">D435/B435</f>
        <v>0.2139851391066579</v>
      </c>
    </row>
    <row r="436" spans="1:7" ht="30" customHeight="1" outlineLevel="2" x14ac:dyDescent="0.25">
      <c r="A436" s="5" t="s">
        <v>44</v>
      </c>
      <c r="B436" s="6">
        <v>48683076</v>
      </c>
      <c r="C436" s="6">
        <v>11890377</v>
      </c>
      <c r="D436" s="6">
        <v>10417454.789999999</v>
      </c>
      <c r="E436" s="6">
        <v>10411835.140000001</v>
      </c>
      <c r="F436" s="7">
        <f t="shared" si="39"/>
        <v>0.87612485205473289</v>
      </c>
      <c r="G436" s="7">
        <f t="shared" si="40"/>
        <v>0.2139851391066579</v>
      </c>
    </row>
    <row r="437" spans="1:7" ht="17.25" customHeight="1" outlineLevel="3" x14ac:dyDescent="0.25">
      <c r="A437" s="10" t="s">
        <v>9</v>
      </c>
      <c r="B437" s="11">
        <v>34112448</v>
      </c>
      <c r="C437" s="11">
        <v>8100000</v>
      </c>
      <c r="D437" s="11">
        <v>8098493.8600000003</v>
      </c>
      <c r="E437" s="11">
        <v>8098493.8600000003</v>
      </c>
      <c r="F437" s="14">
        <f t="shared" si="39"/>
        <v>0.99981405679012347</v>
      </c>
      <c r="G437" s="14">
        <f t="shared" si="40"/>
        <v>0.23740582499385562</v>
      </c>
    </row>
    <row r="438" spans="1:7" ht="17.25" customHeight="1" outlineLevel="3" x14ac:dyDescent="0.25">
      <c r="A438" s="10" t="s">
        <v>10</v>
      </c>
      <c r="B438" s="11">
        <v>7504739</v>
      </c>
      <c r="C438" s="11">
        <v>1782000</v>
      </c>
      <c r="D438" s="11">
        <v>1717125.5</v>
      </c>
      <c r="E438" s="11">
        <v>1717125.5</v>
      </c>
      <c r="F438" s="14">
        <f t="shared" si="39"/>
        <v>0.96359455667788996</v>
      </c>
      <c r="G438" s="14">
        <f t="shared" si="40"/>
        <v>0.22880549210305648</v>
      </c>
    </row>
    <row r="439" spans="1:7" ht="17.25" customHeight="1" outlineLevel="3" x14ac:dyDescent="0.25">
      <c r="A439" s="10" t="s">
        <v>11</v>
      </c>
      <c r="B439" s="11">
        <v>1524482</v>
      </c>
      <c r="C439" s="11">
        <v>320000</v>
      </c>
      <c r="D439" s="11">
        <v>130606.92</v>
      </c>
      <c r="E439" s="11">
        <v>124987.27</v>
      </c>
      <c r="F439" s="14">
        <f t="shared" si="39"/>
        <v>0.40814662499999999</v>
      </c>
      <c r="G439" s="14">
        <f t="shared" si="40"/>
        <v>8.5672982691825814E-2</v>
      </c>
    </row>
    <row r="440" spans="1:7" ht="17.25" customHeight="1" outlineLevel="3" x14ac:dyDescent="0.25">
      <c r="A440" s="10" t="s">
        <v>29</v>
      </c>
      <c r="B440" s="11">
        <v>200000</v>
      </c>
      <c r="C440" s="11">
        <v>50000</v>
      </c>
      <c r="D440" s="12"/>
      <c r="E440" s="12"/>
      <c r="F440" s="14">
        <f t="shared" si="39"/>
        <v>0</v>
      </c>
      <c r="G440" s="14">
        <f t="shared" si="40"/>
        <v>0</v>
      </c>
    </row>
    <row r="441" spans="1:7" ht="17.25" customHeight="1" outlineLevel="3" x14ac:dyDescent="0.25">
      <c r="A441" s="10" t="s">
        <v>34</v>
      </c>
      <c r="B441" s="11">
        <v>1464502</v>
      </c>
      <c r="C441" s="11">
        <v>352602</v>
      </c>
      <c r="D441" s="11">
        <v>206612</v>
      </c>
      <c r="E441" s="11">
        <v>206612</v>
      </c>
      <c r="F441" s="14">
        <f t="shared" si="39"/>
        <v>0.58596377785718745</v>
      </c>
      <c r="G441" s="14">
        <f t="shared" si="40"/>
        <v>0.14108003949465417</v>
      </c>
    </row>
    <row r="442" spans="1:7" ht="17.25" customHeight="1" outlineLevel="3" x14ac:dyDescent="0.25">
      <c r="A442" s="10" t="s">
        <v>12</v>
      </c>
      <c r="B442" s="11">
        <v>951000</v>
      </c>
      <c r="C442" s="11">
        <v>271000</v>
      </c>
      <c r="D442" s="11">
        <v>65369</v>
      </c>
      <c r="E442" s="11">
        <v>65369</v>
      </c>
      <c r="F442" s="14">
        <f t="shared" si="39"/>
        <v>0.24121402214022139</v>
      </c>
      <c r="G442" s="14">
        <f t="shared" si="40"/>
        <v>6.8737118822292317E-2</v>
      </c>
    </row>
    <row r="443" spans="1:7" ht="17.25" customHeight="1" outlineLevel="3" x14ac:dyDescent="0.25">
      <c r="A443" s="10" t="s">
        <v>13</v>
      </c>
      <c r="B443" s="11">
        <v>1731472</v>
      </c>
      <c r="C443" s="11">
        <v>813300</v>
      </c>
      <c r="D443" s="11">
        <v>161447.6</v>
      </c>
      <c r="E443" s="11">
        <v>161447.6</v>
      </c>
      <c r="F443" s="14">
        <f t="shared" si="39"/>
        <v>0.19850928316734293</v>
      </c>
      <c r="G443" s="14">
        <f t="shared" si="40"/>
        <v>9.3242974763669301E-2</v>
      </c>
    </row>
    <row r="444" spans="1:7" ht="17.25" customHeight="1" outlineLevel="3" x14ac:dyDescent="0.25">
      <c r="A444" s="10" t="s">
        <v>14</v>
      </c>
      <c r="B444" s="11">
        <v>45812</v>
      </c>
      <c r="C444" s="11">
        <v>12970</v>
      </c>
      <c r="D444" s="11">
        <v>3579.38</v>
      </c>
      <c r="E444" s="11">
        <v>3579.38</v>
      </c>
      <c r="F444" s="14">
        <f t="shared" si="39"/>
        <v>0.2759737856592136</v>
      </c>
      <c r="G444" s="14">
        <f t="shared" si="40"/>
        <v>7.8131930498559335E-2</v>
      </c>
    </row>
    <row r="445" spans="1:7" ht="17.25" customHeight="1" outlineLevel="3" x14ac:dyDescent="0.25">
      <c r="A445" s="10" t="s">
        <v>15</v>
      </c>
      <c r="B445" s="11">
        <v>688000</v>
      </c>
      <c r="C445" s="11">
        <v>180850</v>
      </c>
      <c r="D445" s="11">
        <v>27518.97</v>
      </c>
      <c r="E445" s="11">
        <v>27518.97</v>
      </c>
      <c r="F445" s="14">
        <f t="shared" si="39"/>
        <v>0.15216461155653857</v>
      </c>
      <c r="G445" s="14">
        <f t="shared" si="40"/>
        <v>3.9998502906976749E-2</v>
      </c>
    </row>
    <row r="446" spans="1:7" ht="17.25" customHeight="1" outlineLevel="3" x14ac:dyDescent="0.25">
      <c r="A446" s="10" t="s">
        <v>26</v>
      </c>
      <c r="B446" s="11">
        <v>30621</v>
      </c>
      <c r="C446" s="11">
        <v>7655</v>
      </c>
      <c r="D446" s="11">
        <v>6701.56</v>
      </c>
      <c r="E446" s="11">
        <v>6701.56</v>
      </c>
      <c r="F446" s="14">
        <f t="shared" si="39"/>
        <v>0.87544872632266502</v>
      </c>
      <c r="G446" s="14">
        <f t="shared" si="40"/>
        <v>0.21885503412690638</v>
      </c>
    </row>
    <row r="447" spans="1:7" ht="28.5" customHeight="1" outlineLevel="3" x14ac:dyDescent="0.25">
      <c r="A447" s="10" t="s">
        <v>16</v>
      </c>
      <c r="B447" s="11">
        <v>30000</v>
      </c>
      <c r="C447" s="12"/>
      <c r="D447" s="12"/>
      <c r="E447" s="12"/>
      <c r="F447" s="14">
        <v>0</v>
      </c>
      <c r="G447" s="14">
        <f t="shared" si="40"/>
        <v>0</v>
      </c>
    </row>
    <row r="448" spans="1:7" ht="16.5" customHeight="1" outlineLevel="3" x14ac:dyDescent="0.25">
      <c r="A448" s="10" t="s">
        <v>56</v>
      </c>
      <c r="B448" s="11">
        <v>400000</v>
      </c>
      <c r="C448" s="12"/>
      <c r="D448" s="12"/>
      <c r="E448" s="12"/>
      <c r="F448" s="14">
        <v>0</v>
      </c>
      <c r="G448" s="14">
        <f t="shared" si="40"/>
        <v>0</v>
      </c>
    </row>
    <row r="449" spans="1:7" ht="38.25" customHeight="1" outlineLevel="1" x14ac:dyDescent="0.25">
      <c r="A449" s="28" t="s">
        <v>80</v>
      </c>
      <c r="B449" s="22">
        <v>681600</v>
      </c>
      <c r="C449" s="22">
        <v>681600</v>
      </c>
      <c r="D449" s="22">
        <v>19200</v>
      </c>
      <c r="E449" s="22">
        <v>19200</v>
      </c>
      <c r="F449" s="23">
        <f t="shared" ref="F449:F490" si="41">D449/C449</f>
        <v>2.8169014084507043E-2</v>
      </c>
      <c r="G449" s="23">
        <f t="shared" si="40"/>
        <v>2.8169014084507043E-2</v>
      </c>
    </row>
    <row r="450" spans="1:7" s="78" customFormat="1" ht="27.75" customHeight="1" outlineLevel="2" x14ac:dyDescent="0.25">
      <c r="A450" s="8" t="s">
        <v>24</v>
      </c>
      <c r="B450" s="9">
        <v>681600</v>
      </c>
      <c r="C450" s="9">
        <v>681600</v>
      </c>
      <c r="D450" s="9">
        <v>19200</v>
      </c>
      <c r="E450" s="9">
        <v>19200</v>
      </c>
      <c r="F450" s="16">
        <f t="shared" si="41"/>
        <v>2.8169014084507043E-2</v>
      </c>
      <c r="G450" s="16">
        <f t="shared" si="40"/>
        <v>2.8169014084507043E-2</v>
      </c>
    </row>
    <row r="451" spans="1:7" ht="15.75" customHeight="1" outlineLevel="3" x14ac:dyDescent="0.25">
      <c r="A451" s="10" t="s">
        <v>11</v>
      </c>
      <c r="B451" s="11">
        <v>611600</v>
      </c>
      <c r="C451" s="11">
        <v>611600</v>
      </c>
      <c r="D451" s="11">
        <v>19200</v>
      </c>
      <c r="E451" s="11">
        <v>19200</v>
      </c>
      <c r="F451" s="14">
        <f t="shared" si="41"/>
        <v>3.1393067364290386E-2</v>
      </c>
      <c r="G451" s="14">
        <f t="shared" si="40"/>
        <v>3.1393067364290386E-2</v>
      </c>
    </row>
    <row r="452" spans="1:7" ht="15" customHeight="1" outlineLevel="3" x14ac:dyDescent="0.25">
      <c r="A452" s="10" t="s">
        <v>12</v>
      </c>
      <c r="B452" s="11">
        <v>70000</v>
      </c>
      <c r="C452" s="11">
        <v>70000</v>
      </c>
      <c r="D452" s="12"/>
      <c r="E452" s="12"/>
      <c r="F452" s="14">
        <f t="shared" si="41"/>
        <v>0</v>
      </c>
      <c r="G452" s="14">
        <f t="shared" si="40"/>
        <v>0</v>
      </c>
    </row>
    <row r="453" spans="1:7" ht="52.5" customHeight="1" outlineLevel="1" x14ac:dyDescent="0.25">
      <c r="A453" s="28" t="s">
        <v>81</v>
      </c>
      <c r="B453" s="22">
        <v>15157905</v>
      </c>
      <c r="C453" s="22">
        <v>3587163</v>
      </c>
      <c r="D453" s="22">
        <v>3410684.28</v>
      </c>
      <c r="E453" s="22">
        <v>3410684.28</v>
      </c>
      <c r="F453" s="23">
        <f t="shared" si="41"/>
        <v>0.95080270397525835</v>
      </c>
      <c r="G453" s="23">
        <f t="shared" si="40"/>
        <v>0.22501026889929709</v>
      </c>
    </row>
    <row r="454" spans="1:7" s="78" customFormat="1" ht="16.5" customHeight="1" outlineLevel="2" x14ac:dyDescent="0.25">
      <c r="A454" s="8" t="s">
        <v>45</v>
      </c>
      <c r="B454" s="9">
        <v>15157905</v>
      </c>
      <c r="C454" s="9">
        <v>3587163</v>
      </c>
      <c r="D454" s="9">
        <v>3410684.28</v>
      </c>
      <c r="E454" s="9">
        <v>3410684.28</v>
      </c>
      <c r="F454" s="16">
        <f t="shared" si="41"/>
        <v>0.95080270397525835</v>
      </c>
      <c r="G454" s="16">
        <f t="shared" si="40"/>
        <v>0.22501026889929709</v>
      </c>
    </row>
    <row r="455" spans="1:7" ht="16.5" customHeight="1" outlineLevel="3" x14ac:dyDescent="0.25">
      <c r="A455" s="10" t="s">
        <v>9</v>
      </c>
      <c r="B455" s="11">
        <v>11758100</v>
      </c>
      <c r="C455" s="11">
        <v>2700000</v>
      </c>
      <c r="D455" s="11">
        <v>2695826</v>
      </c>
      <c r="E455" s="11">
        <v>2695826</v>
      </c>
      <c r="F455" s="14">
        <f t="shared" si="41"/>
        <v>0.99845407407407405</v>
      </c>
      <c r="G455" s="14">
        <f t="shared" si="40"/>
        <v>0.22927394732142098</v>
      </c>
    </row>
    <row r="456" spans="1:7" ht="16.5" customHeight="1" outlineLevel="3" x14ac:dyDescent="0.25">
      <c r="A456" s="10" t="s">
        <v>10</v>
      </c>
      <c r="B456" s="11">
        <v>2586782</v>
      </c>
      <c r="C456" s="11">
        <v>594000</v>
      </c>
      <c r="D456" s="11">
        <v>551852.32999999996</v>
      </c>
      <c r="E456" s="11">
        <v>551852.32999999996</v>
      </c>
      <c r="F456" s="14">
        <f t="shared" si="41"/>
        <v>0.92904432659932656</v>
      </c>
      <c r="G456" s="14">
        <f t="shared" si="40"/>
        <v>0.21333546081579349</v>
      </c>
    </row>
    <row r="457" spans="1:7" ht="16.5" customHeight="1" outlineLevel="3" x14ac:dyDescent="0.25">
      <c r="A457" s="10" t="s">
        <v>11</v>
      </c>
      <c r="B457" s="11">
        <v>115000</v>
      </c>
      <c r="C457" s="11">
        <v>29100</v>
      </c>
      <c r="D457" s="12"/>
      <c r="E457" s="12"/>
      <c r="F457" s="14">
        <f t="shared" si="41"/>
        <v>0</v>
      </c>
      <c r="G457" s="14">
        <f t="shared" si="40"/>
        <v>0</v>
      </c>
    </row>
    <row r="458" spans="1:7" ht="16.5" customHeight="1" outlineLevel="3" x14ac:dyDescent="0.25">
      <c r="A458" s="10" t="s">
        <v>12</v>
      </c>
      <c r="B458" s="11">
        <v>265850</v>
      </c>
      <c r="C458" s="11">
        <v>106264</v>
      </c>
      <c r="D458" s="11">
        <v>48343.23</v>
      </c>
      <c r="E458" s="11">
        <v>48343.23</v>
      </c>
      <c r="F458" s="14">
        <f t="shared" si="41"/>
        <v>0.45493516148460439</v>
      </c>
      <c r="G458" s="14">
        <f t="shared" si="40"/>
        <v>0.1818440097799511</v>
      </c>
    </row>
    <row r="459" spans="1:7" ht="16.5" customHeight="1" outlineLevel="3" x14ac:dyDescent="0.25">
      <c r="A459" s="10" t="s">
        <v>21</v>
      </c>
      <c r="B459" s="11">
        <v>19140</v>
      </c>
      <c r="C459" s="11">
        <v>3480</v>
      </c>
      <c r="D459" s="11">
        <v>3480</v>
      </c>
      <c r="E459" s="11">
        <v>3480</v>
      </c>
      <c r="F459" s="14">
        <f t="shared" si="41"/>
        <v>1</v>
      </c>
      <c r="G459" s="14">
        <f t="shared" si="40"/>
        <v>0.18181818181818182</v>
      </c>
    </row>
    <row r="460" spans="1:7" ht="16.5" customHeight="1" outlineLevel="3" x14ac:dyDescent="0.25">
      <c r="A460" s="10" t="s">
        <v>13</v>
      </c>
      <c r="B460" s="11">
        <v>186151</v>
      </c>
      <c r="C460" s="11">
        <v>96116</v>
      </c>
      <c r="D460" s="11">
        <v>74505.919999999998</v>
      </c>
      <c r="E460" s="11">
        <v>74505.919999999998</v>
      </c>
      <c r="F460" s="14">
        <f t="shared" si="41"/>
        <v>0.77516667360273006</v>
      </c>
      <c r="G460" s="14">
        <f t="shared" si="40"/>
        <v>0.4002445326643424</v>
      </c>
    </row>
    <row r="461" spans="1:7" ht="16.5" customHeight="1" outlineLevel="3" x14ac:dyDescent="0.25">
      <c r="A461" s="10" t="s">
        <v>14</v>
      </c>
      <c r="B461" s="11">
        <v>16135</v>
      </c>
      <c r="C461" s="11">
        <v>4035</v>
      </c>
      <c r="D461" s="11">
        <v>3337.26</v>
      </c>
      <c r="E461" s="11">
        <v>3337.26</v>
      </c>
      <c r="F461" s="14">
        <f t="shared" si="41"/>
        <v>0.82707806691449814</v>
      </c>
      <c r="G461" s="14">
        <f t="shared" si="40"/>
        <v>0.20683359157111869</v>
      </c>
    </row>
    <row r="462" spans="1:7" ht="16.5" customHeight="1" outlineLevel="3" x14ac:dyDescent="0.25">
      <c r="A462" s="10" t="s">
        <v>15</v>
      </c>
      <c r="B462" s="11">
        <v>200000</v>
      </c>
      <c r="C462" s="11">
        <v>51480</v>
      </c>
      <c r="D462" s="11">
        <v>30652.89</v>
      </c>
      <c r="E462" s="11">
        <v>30652.89</v>
      </c>
      <c r="F462" s="14">
        <f t="shared" si="41"/>
        <v>0.5954329836829837</v>
      </c>
      <c r="G462" s="14">
        <f t="shared" si="40"/>
        <v>0.15326445</v>
      </c>
    </row>
    <row r="463" spans="1:7" ht="16.5" customHeight="1" outlineLevel="3" x14ac:dyDescent="0.25">
      <c r="A463" s="10" t="s">
        <v>26</v>
      </c>
      <c r="B463" s="11">
        <v>10747</v>
      </c>
      <c r="C463" s="11">
        <v>2688</v>
      </c>
      <c r="D463" s="11">
        <v>2686.65</v>
      </c>
      <c r="E463" s="11">
        <v>2686.65</v>
      </c>
      <c r="F463" s="14">
        <f t="shared" si="41"/>
        <v>0.99949776785714284</v>
      </c>
      <c r="G463" s="14">
        <f t="shared" si="40"/>
        <v>0.24999069507769611</v>
      </c>
    </row>
    <row r="464" spans="1:7" ht="26.1" customHeight="1" outlineLevel="1" x14ac:dyDescent="0.25">
      <c r="A464" s="28" t="s">
        <v>82</v>
      </c>
      <c r="B464" s="22">
        <v>25376529</v>
      </c>
      <c r="C464" s="22">
        <v>7014556</v>
      </c>
      <c r="D464" s="22">
        <v>5684485.3099999996</v>
      </c>
      <c r="E464" s="22">
        <v>5675428.9299999997</v>
      </c>
      <c r="F464" s="23">
        <f t="shared" si="41"/>
        <v>0.81038419395325945</v>
      </c>
      <c r="G464" s="23">
        <f t="shared" si="40"/>
        <v>0.22400562779882149</v>
      </c>
    </row>
    <row r="465" spans="1:7" s="78" customFormat="1" ht="29.25" customHeight="1" outlineLevel="2" x14ac:dyDescent="0.25">
      <c r="A465" s="8" t="s">
        <v>46</v>
      </c>
      <c r="B465" s="9">
        <v>25376529</v>
      </c>
      <c r="C465" s="9">
        <v>7014556</v>
      </c>
      <c r="D465" s="9">
        <v>5684485.3099999996</v>
      </c>
      <c r="E465" s="9">
        <v>5675428.9299999997</v>
      </c>
      <c r="F465" s="16">
        <f t="shared" si="41"/>
        <v>0.81038419395325945</v>
      </c>
      <c r="G465" s="16">
        <f t="shared" si="40"/>
        <v>0.22400562779882149</v>
      </c>
    </row>
    <row r="466" spans="1:7" ht="18" customHeight="1" outlineLevel="3" x14ac:dyDescent="0.25">
      <c r="A466" s="10" t="s">
        <v>9</v>
      </c>
      <c r="B466" s="11">
        <v>16920982</v>
      </c>
      <c r="C466" s="11">
        <v>4250000</v>
      </c>
      <c r="D466" s="11">
        <v>4226087.25</v>
      </c>
      <c r="E466" s="11">
        <v>4226087.25</v>
      </c>
      <c r="F466" s="14">
        <f t="shared" si="41"/>
        <v>0.99437347058823533</v>
      </c>
      <c r="G466" s="14">
        <f t="shared" si="40"/>
        <v>0.2497542548062518</v>
      </c>
    </row>
    <row r="467" spans="1:7" ht="18" customHeight="1" outlineLevel="3" x14ac:dyDescent="0.25">
      <c r="A467" s="10" t="s">
        <v>10</v>
      </c>
      <c r="B467" s="11">
        <v>3722616</v>
      </c>
      <c r="C467" s="11">
        <v>935000</v>
      </c>
      <c r="D467" s="11">
        <v>921300.88</v>
      </c>
      <c r="E467" s="11">
        <v>921300.88</v>
      </c>
      <c r="F467" s="14">
        <f t="shared" si="41"/>
        <v>0.98534853475935824</v>
      </c>
      <c r="G467" s="14">
        <f t="shared" ref="G467:G490" si="42">D467/B467</f>
        <v>0.24748748729388151</v>
      </c>
    </row>
    <row r="468" spans="1:7" ht="18" customHeight="1" outlineLevel="3" x14ac:dyDescent="0.25">
      <c r="A468" s="10" t="s">
        <v>11</v>
      </c>
      <c r="B468" s="11">
        <v>300000</v>
      </c>
      <c r="C468" s="11">
        <v>85000</v>
      </c>
      <c r="D468" s="11">
        <v>43539.93</v>
      </c>
      <c r="E468" s="11">
        <v>36429.89</v>
      </c>
      <c r="F468" s="14">
        <f t="shared" si="41"/>
        <v>0.51223447058823535</v>
      </c>
      <c r="G468" s="14">
        <f t="shared" si="42"/>
        <v>0.14513309999999999</v>
      </c>
    </row>
    <row r="469" spans="1:7" ht="18" customHeight="1" outlineLevel="3" x14ac:dyDescent="0.25">
      <c r="A469" s="10" t="s">
        <v>12</v>
      </c>
      <c r="B469" s="11">
        <v>1092213</v>
      </c>
      <c r="C469" s="11">
        <v>410000</v>
      </c>
      <c r="D469" s="11">
        <v>203027.7</v>
      </c>
      <c r="E469" s="11">
        <v>201081.36</v>
      </c>
      <c r="F469" s="14">
        <f t="shared" si="41"/>
        <v>0.49518951219512197</v>
      </c>
      <c r="G469" s="14">
        <f t="shared" si="42"/>
        <v>0.18588654410815475</v>
      </c>
    </row>
    <row r="470" spans="1:7" ht="18" customHeight="1" outlineLevel="3" x14ac:dyDescent="0.25">
      <c r="A470" s="10" t="s">
        <v>13</v>
      </c>
      <c r="B470" s="11">
        <v>2067768</v>
      </c>
      <c r="C470" s="11">
        <v>940000</v>
      </c>
      <c r="D470" s="11">
        <v>132466.37</v>
      </c>
      <c r="E470" s="11">
        <v>132466.37</v>
      </c>
      <c r="F470" s="14">
        <f t="shared" si="41"/>
        <v>0.14092167021276594</v>
      </c>
      <c r="G470" s="14">
        <f t="shared" si="42"/>
        <v>6.4062491536768143E-2</v>
      </c>
    </row>
    <row r="471" spans="1:7" ht="18" customHeight="1" outlineLevel="3" x14ac:dyDescent="0.25">
      <c r="A471" s="10" t="s">
        <v>14</v>
      </c>
      <c r="B471" s="11">
        <v>279037</v>
      </c>
      <c r="C471" s="11">
        <v>73000</v>
      </c>
      <c r="D471" s="11">
        <v>7165.52</v>
      </c>
      <c r="E471" s="11">
        <v>7165.52</v>
      </c>
      <c r="F471" s="14">
        <f t="shared" si="41"/>
        <v>9.8157808219178092E-2</v>
      </c>
      <c r="G471" s="14">
        <f t="shared" si="42"/>
        <v>2.5679461863480472E-2</v>
      </c>
    </row>
    <row r="472" spans="1:7" ht="18" customHeight="1" outlineLevel="3" x14ac:dyDescent="0.25">
      <c r="A472" s="10" t="s">
        <v>15</v>
      </c>
      <c r="B472" s="11">
        <v>929857</v>
      </c>
      <c r="C472" s="11">
        <v>280000</v>
      </c>
      <c r="D472" s="11">
        <v>122144.88</v>
      </c>
      <c r="E472" s="11">
        <v>122144.88</v>
      </c>
      <c r="F472" s="14">
        <f t="shared" si="41"/>
        <v>0.43623171428571428</v>
      </c>
      <c r="G472" s="14">
        <f t="shared" si="42"/>
        <v>0.1313587788229803</v>
      </c>
    </row>
    <row r="473" spans="1:7" ht="18" customHeight="1" outlineLevel="3" x14ac:dyDescent="0.25">
      <c r="A473" s="10" t="s">
        <v>26</v>
      </c>
      <c r="B473" s="11">
        <v>53956</v>
      </c>
      <c r="C473" s="11">
        <v>31456</v>
      </c>
      <c r="D473" s="11">
        <v>28752.78</v>
      </c>
      <c r="E473" s="11">
        <v>28752.78</v>
      </c>
      <c r="F473" s="14">
        <f t="shared" si="41"/>
        <v>0.91406345371312303</v>
      </c>
      <c r="G473" s="14">
        <f t="shared" si="42"/>
        <v>0.53289309807991692</v>
      </c>
    </row>
    <row r="474" spans="1:7" ht="25.5" customHeight="1" outlineLevel="3" x14ac:dyDescent="0.25">
      <c r="A474" s="10" t="s">
        <v>16</v>
      </c>
      <c r="B474" s="11">
        <v>10100</v>
      </c>
      <c r="C474" s="11">
        <v>10100</v>
      </c>
      <c r="D474" s="12"/>
      <c r="E474" s="12"/>
      <c r="F474" s="14">
        <f t="shared" si="41"/>
        <v>0</v>
      </c>
      <c r="G474" s="14">
        <f t="shared" si="42"/>
        <v>0</v>
      </c>
    </row>
    <row r="475" spans="1:7" ht="26.1" customHeight="1" outlineLevel="1" x14ac:dyDescent="0.25">
      <c r="A475" s="28" t="s">
        <v>83</v>
      </c>
      <c r="B475" s="22">
        <v>66800</v>
      </c>
      <c r="C475" s="22">
        <v>9704</v>
      </c>
      <c r="D475" s="38"/>
      <c r="E475" s="38"/>
      <c r="F475" s="23">
        <f t="shared" si="41"/>
        <v>0</v>
      </c>
      <c r="G475" s="23">
        <f t="shared" si="42"/>
        <v>0</v>
      </c>
    </row>
    <row r="476" spans="1:7" s="78" customFormat="1" ht="25.5" customHeight="1" outlineLevel="2" x14ac:dyDescent="0.25">
      <c r="A476" s="8" t="s">
        <v>22</v>
      </c>
      <c r="B476" s="9">
        <v>66800</v>
      </c>
      <c r="C476" s="9">
        <v>9704</v>
      </c>
      <c r="D476" s="80"/>
      <c r="E476" s="80"/>
      <c r="F476" s="16">
        <f t="shared" si="41"/>
        <v>0</v>
      </c>
      <c r="G476" s="16">
        <f t="shared" si="42"/>
        <v>0</v>
      </c>
    </row>
    <row r="477" spans="1:7" ht="15.75" customHeight="1" outlineLevel="3" x14ac:dyDescent="0.25">
      <c r="A477" s="10" t="s">
        <v>11</v>
      </c>
      <c r="B477" s="11">
        <v>66800</v>
      </c>
      <c r="C477" s="11">
        <v>9704</v>
      </c>
      <c r="D477" s="12"/>
      <c r="E477" s="12"/>
      <c r="F477" s="14">
        <f t="shared" si="41"/>
        <v>0</v>
      </c>
      <c r="G477" s="14">
        <f t="shared" si="42"/>
        <v>0</v>
      </c>
    </row>
    <row r="478" spans="1:7" ht="26.1" customHeight="1" outlineLevel="1" x14ac:dyDescent="0.25">
      <c r="A478" s="28" t="s">
        <v>84</v>
      </c>
      <c r="B478" s="22">
        <v>12696737</v>
      </c>
      <c r="C478" s="22">
        <v>3192805</v>
      </c>
      <c r="D478" s="22">
        <v>2963666.62</v>
      </c>
      <c r="E478" s="22">
        <v>2963666.62</v>
      </c>
      <c r="F478" s="23">
        <f t="shared" si="41"/>
        <v>0.9282328923939922</v>
      </c>
      <c r="G478" s="23">
        <f t="shared" si="42"/>
        <v>0.23341954866041567</v>
      </c>
    </row>
    <row r="479" spans="1:7" s="78" customFormat="1" ht="24.75" customHeight="1" outlineLevel="2" x14ac:dyDescent="0.25">
      <c r="A479" s="8" t="s">
        <v>47</v>
      </c>
      <c r="B479" s="9">
        <v>12696737</v>
      </c>
      <c r="C479" s="9">
        <v>3192805</v>
      </c>
      <c r="D479" s="9">
        <v>2963666.62</v>
      </c>
      <c r="E479" s="9">
        <v>2963666.62</v>
      </c>
      <c r="F479" s="16">
        <f t="shared" si="41"/>
        <v>0.9282328923939922</v>
      </c>
      <c r="G479" s="16">
        <f t="shared" si="42"/>
        <v>0.23341954866041567</v>
      </c>
    </row>
    <row r="480" spans="1:7" ht="17.25" customHeight="1" outlineLevel="3" x14ac:dyDescent="0.25">
      <c r="A480" s="10" t="s">
        <v>9</v>
      </c>
      <c r="B480" s="11">
        <v>9201452</v>
      </c>
      <c r="C480" s="11">
        <v>2300250</v>
      </c>
      <c r="D480" s="11">
        <v>2280994.2599999998</v>
      </c>
      <c r="E480" s="11">
        <v>2280994.2599999998</v>
      </c>
      <c r="F480" s="14">
        <f t="shared" si="41"/>
        <v>0.99162884903814796</v>
      </c>
      <c r="G480" s="14">
        <f t="shared" si="42"/>
        <v>0.24789503439239804</v>
      </c>
    </row>
    <row r="481" spans="1:7" ht="17.25" customHeight="1" outlineLevel="3" x14ac:dyDescent="0.25">
      <c r="A481" s="10" t="s">
        <v>10</v>
      </c>
      <c r="B481" s="11">
        <v>2024319</v>
      </c>
      <c r="C481" s="11">
        <v>506055</v>
      </c>
      <c r="D481" s="11">
        <v>475474.19</v>
      </c>
      <c r="E481" s="11">
        <v>475474.19</v>
      </c>
      <c r="F481" s="14">
        <f t="shared" si="41"/>
        <v>0.9395701850589363</v>
      </c>
      <c r="G481" s="14">
        <f t="shared" si="42"/>
        <v>0.2348810587659356</v>
      </c>
    </row>
    <row r="482" spans="1:7" ht="17.25" customHeight="1" outlineLevel="3" x14ac:dyDescent="0.25">
      <c r="A482" s="10" t="s">
        <v>11</v>
      </c>
      <c r="B482" s="11">
        <v>100006</v>
      </c>
      <c r="C482" s="11">
        <v>11000</v>
      </c>
      <c r="D482" s="11">
        <v>6300</v>
      </c>
      <c r="E482" s="11">
        <v>6300</v>
      </c>
      <c r="F482" s="14">
        <f t="shared" si="41"/>
        <v>0.57272727272727275</v>
      </c>
      <c r="G482" s="14">
        <f t="shared" si="42"/>
        <v>6.2996220226786387E-2</v>
      </c>
    </row>
    <row r="483" spans="1:7" ht="17.25" customHeight="1" outlineLevel="3" x14ac:dyDescent="0.25">
      <c r="A483" s="10" t="s">
        <v>12</v>
      </c>
      <c r="B483" s="11">
        <v>895000</v>
      </c>
      <c r="C483" s="11">
        <v>218600</v>
      </c>
      <c r="D483" s="11">
        <v>170015.52</v>
      </c>
      <c r="E483" s="11">
        <v>170015.52</v>
      </c>
      <c r="F483" s="14">
        <f t="shared" si="41"/>
        <v>0.77774711802378771</v>
      </c>
      <c r="G483" s="14">
        <f t="shared" si="42"/>
        <v>0.18996147486033518</v>
      </c>
    </row>
    <row r="484" spans="1:7" ht="17.25" customHeight="1" outlineLevel="3" x14ac:dyDescent="0.25">
      <c r="A484" s="10" t="s">
        <v>13</v>
      </c>
      <c r="B484" s="11">
        <v>215016</v>
      </c>
      <c r="C484" s="11">
        <v>90000</v>
      </c>
      <c r="D484" s="13">
        <v>813.5</v>
      </c>
      <c r="E484" s="13">
        <v>813.5</v>
      </c>
      <c r="F484" s="14">
        <f t="shared" si="41"/>
        <v>9.0388888888888897E-3</v>
      </c>
      <c r="G484" s="14">
        <f t="shared" si="42"/>
        <v>3.7834393719537152E-3</v>
      </c>
    </row>
    <row r="485" spans="1:7" ht="17.25" customHeight="1" outlineLevel="3" x14ac:dyDescent="0.25">
      <c r="A485" s="10" t="s">
        <v>14</v>
      </c>
      <c r="B485" s="11">
        <v>27989</v>
      </c>
      <c r="C485" s="11">
        <v>6900</v>
      </c>
      <c r="D485" s="11">
        <v>5968.47</v>
      </c>
      <c r="E485" s="11">
        <v>5968.47</v>
      </c>
      <c r="F485" s="14">
        <f t="shared" si="41"/>
        <v>0.86499565217391305</v>
      </c>
      <c r="G485" s="14">
        <f t="shared" si="42"/>
        <v>0.21324341705670086</v>
      </c>
    </row>
    <row r="486" spans="1:7" ht="17.25" customHeight="1" outlineLevel="3" x14ac:dyDescent="0.25">
      <c r="A486" s="10" t="s">
        <v>15</v>
      </c>
      <c r="B486" s="11">
        <v>228000</v>
      </c>
      <c r="C486" s="11">
        <v>57000</v>
      </c>
      <c r="D486" s="11">
        <v>24100.68</v>
      </c>
      <c r="E486" s="11">
        <v>24100.68</v>
      </c>
      <c r="F486" s="14">
        <f t="shared" si="41"/>
        <v>0.42281894736842107</v>
      </c>
      <c r="G486" s="14">
        <f t="shared" si="42"/>
        <v>0.10570473684210527</v>
      </c>
    </row>
    <row r="487" spans="1:7" ht="29.25" customHeight="1" outlineLevel="3" x14ac:dyDescent="0.25">
      <c r="A487" s="10" t="s">
        <v>16</v>
      </c>
      <c r="B487" s="11">
        <v>4955</v>
      </c>
      <c r="C487" s="11">
        <v>3000</v>
      </c>
      <c r="D487" s="12"/>
      <c r="E487" s="12"/>
      <c r="F487" s="14">
        <f t="shared" si="41"/>
        <v>0</v>
      </c>
      <c r="G487" s="14">
        <f t="shared" si="42"/>
        <v>0</v>
      </c>
    </row>
    <row r="488" spans="1:7" ht="27" customHeight="1" outlineLevel="1" x14ac:dyDescent="0.25">
      <c r="A488" s="28" t="s">
        <v>124</v>
      </c>
      <c r="B488" s="22">
        <v>91000</v>
      </c>
      <c r="C488" s="22">
        <v>13000</v>
      </c>
      <c r="D488" s="22">
        <v>13000</v>
      </c>
      <c r="E488" s="22">
        <v>13000</v>
      </c>
      <c r="F488" s="23">
        <f t="shared" si="41"/>
        <v>1</v>
      </c>
      <c r="G488" s="23">
        <f t="shared" si="42"/>
        <v>0.14285714285714285</v>
      </c>
    </row>
    <row r="489" spans="1:7" s="78" customFormat="1" ht="24" customHeight="1" outlineLevel="2" x14ac:dyDescent="0.25">
      <c r="A489" s="8" t="s">
        <v>20</v>
      </c>
      <c r="B489" s="9">
        <v>91000</v>
      </c>
      <c r="C489" s="9">
        <v>13000</v>
      </c>
      <c r="D489" s="9">
        <v>13000</v>
      </c>
      <c r="E489" s="9">
        <v>13000</v>
      </c>
      <c r="F489" s="16">
        <f t="shared" si="41"/>
        <v>1</v>
      </c>
      <c r="G489" s="16">
        <f t="shared" si="42"/>
        <v>0.14285714285714285</v>
      </c>
    </row>
    <row r="490" spans="1:7" ht="19.5" customHeight="1" outlineLevel="3" x14ac:dyDescent="0.25">
      <c r="A490" s="10" t="s">
        <v>11</v>
      </c>
      <c r="B490" s="11">
        <v>91000</v>
      </c>
      <c r="C490" s="11">
        <v>13000</v>
      </c>
      <c r="D490" s="11">
        <v>13000</v>
      </c>
      <c r="E490" s="11">
        <v>13000</v>
      </c>
      <c r="F490" s="14">
        <f t="shared" si="41"/>
        <v>1</v>
      </c>
      <c r="G490" s="14">
        <f t="shared" si="42"/>
        <v>0.14285714285714285</v>
      </c>
    </row>
    <row r="491" spans="1:7" ht="17.25" customHeight="1" outlineLevel="3" x14ac:dyDescent="0.25">
      <c r="A491" s="24" t="s">
        <v>48</v>
      </c>
      <c r="B491" s="25">
        <f>B492+B503+B513</f>
        <v>58815969</v>
      </c>
      <c r="C491" s="25">
        <f>C492+C503+C513</f>
        <v>14368890</v>
      </c>
      <c r="D491" s="25">
        <f t="shared" ref="D491:E491" si="43">D492+D503+D513</f>
        <v>12220976.330000002</v>
      </c>
      <c r="E491" s="25">
        <f t="shared" si="43"/>
        <v>12179203.330000002</v>
      </c>
      <c r="F491" s="26">
        <f t="shared" ref="F491" si="44">D491/C491</f>
        <v>0.85051638157157594</v>
      </c>
      <c r="G491" s="26">
        <f t="shared" ref="G491" si="45">D491/B491</f>
        <v>0.20778330337463286</v>
      </c>
    </row>
    <row r="492" spans="1:7" ht="18" customHeight="1" outlineLevel="1" x14ac:dyDescent="0.25">
      <c r="A492" s="28" t="s">
        <v>86</v>
      </c>
      <c r="B492" s="22">
        <v>43464259</v>
      </c>
      <c r="C492" s="22">
        <v>10444703</v>
      </c>
      <c r="D492" s="22">
        <v>9116154.4600000009</v>
      </c>
      <c r="E492" s="22">
        <v>9091031.4600000009</v>
      </c>
      <c r="F492" s="23">
        <f t="shared" ref="F492:F501" si="46">D492/C492</f>
        <v>0.8728016928772413</v>
      </c>
      <c r="G492" s="23">
        <f t="shared" ref="G492:G522" si="47">D492/B492</f>
        <v>0.20973909758820461</v>
      </c>
    </row>
    <row r="493" spans="1:7" s="78" customFormat="1" ht="28.5" customHeight="1" outlineLevel="2" x14ac:dyDescent="0.25">
      <c r="A493" s="8" t="s">
        <v>25</v>
      </c>
      <c r="B493" s="9">
        <v>43464259</v>
      </c>
      <c r="C493" s="9">
        <v>10444703</v>
      </c>
      <c r="D493" s="9">
        <v>9116154.4600000009</v>
      </c>
      <c r="E493" s="9">
        <v>9091031.4600000009</v>
      </c>
      <c r="F493" s="16">
        <f t="shared" si="46"/>
        <v>0.8728016928772413</v>
      </c>
      <c r="G493" s="16">
        <f t="shared" si="47"/>
        <v>0.20973909758820461</v>
      </c>
    </row>
    <row r="494" spans="1:7" ht="15" customHeight="1" outlineLevel="3" x14ac:dyDescent="0.25">
      <c r="A494" s="10" t="s">
        <v>9</v>
      </c>
      <c r="B494" s="11">
        <v>30066049</v>
      </c>
      <c r="C494" s="11">
        <v>6900000</v>
      </c>
      <c r="D494" s="11">
        <v>6880372.1799999997</v>
      </c>
      <c r="E494" s="11">
        <v>6880372.1799999997</v>
      </c>
      <c r="F494" s="14">
        <f t="shared" si="46"/>
        <v>0.99715538840579709</v>
      </c>
      <c r="G494" s="14">
        <f t="shared" si="47"/>
        <v>0.22884191334884074</v>
      </c>
    </row>
    <row r="495" spans="1:7" ht="15" customHeight="1" outlineLevel="3" x14ac:dyDescent="0.25">
      <c r="A495" s="10" t="s">
        <v>10</v>
      </c>
      <c r="B495" s="11">
        <v>6614531</v>
      </c>
      <c r="C495" s="11">
        <v>1518000</v>
      </c>
      <c r="D495" s="11">
        <v>1514139.52</v>
      </c>
      <c r="E495" s="11">
        <v>1514139.52</v>
      </c>
      <c r="F495" s="14">
        <f t="shared" si="46"/>
        <v>0.99745686429512515</v>
      </c>
      <c r="G495" s="14">
        <f t="shared" si="47"/>
        <v>0.22891109286508748</v>
      </c>
    </row>
    <row r="496" spans="1:7" ht="15" customHeight="1" outlineLevel="3" x14ac:dyDescent="0.25">
      <c r="A496" s="10" t="s">
        <v>11</v>
      </c>
      <c r="B496" s="11">
        <v>200000</v>
      </c>
      <c r="C496" s="11">
        <v>100000</v>
      </c>
      <c r="D496" s="11">
        <v>25123</v>
      </c>
      <c r="E496" s="12"/>
      <c r="F496" s="14">
        <f t="shared" si="46"/>
        <v>0.25123000000000001</v>
      </c>
      <c r="G496" s="14">
        <f t="shared" si="47"/>
        <v>0.125615</v>
      </c>
    </row>
    <row r="497" spans="1:7" ht="15" customHeight="1" outlineLevel="3" x14ac:dyDescent="0.25">
      <c r="A497" s="10" t="s">
        <v>12</v>
      </c>
      <c r="B497" s="11">
        <v>1700000</v>
      </c>
      <c r="C497" s="11">
        <v>350000</v>
      </c>
      <c r="D497" s="11">
        <v>223968.11</v>
      </c>
      <c r="E497" s="11">
        <v>223968.11</v>
      </c>
      <c r="F497" s="14">
        <f t="shared" si="46"/>
        <v>0.63990888571428572</v>
      </c>
      <c r="G497" s="14">
        <f t="shared" si="47"/>
        <v>0.13174594705882353</v>
      </c>
    </row>
    <row r="498" spans="1:7" ht="15" customHeight="1" outlineLevel="3" x14ac:dyDescent="0.25">
      <c r="A498" s="10" t="s">
        <v>13</v>
      </c>
      <c r="B498" s="11">
        <v>2693715</v>
      </c>
      <c r="C498" s="11">
        <v>1328362</v>
      </c>
      <c r="D498" s="11">
        <v>362423.2</v>
      </c>
      <c r="E498" s="11">
        <v>362423.2</v>
      </c>
      <c r="F498" s="14">
        <f t="shared" si="46"/>
        <v>0.27283466404489137</v>
      </c>
      <c r="G498" s="14">
        <f t="shared" si="47"/>
        <v>0.13454400335596009</v>
      </c>
    </row>
    <row r="499" spans="1:7" ht="15" customHeight="1" outlineLevel="3" x14ac:dyDescent="0.25">
      <c r="A499" s="10" t="s">
        <v>14</v>
      </c>
      <c r="B499" s="11">
        <v>74803</v>
      </c>
      <c r="C499" s="11">
        <v>19946</v>
      </c>
      <c r="D499" s="11">
        <v>11205.46</v>
      </c>
      <c r="E499" s="11">
        <v>11205.46</v>
      </c>
      <c r="F499" s="14">
        <f t="shared" si="46"/>
        <v>0.56178983254787918</v>
      </c>
      <c r="G499" s="14">
        <f t="shared" si="47"/>
        <v>0.14979960696763497</v>
      </c>
    </row>
    <row r="500" spans="1:7" ht="15" customHeight="1" outlineLevel="3" x14ac:dyDescent="0.25">
      <c r="A500" s="10" t="s">
        <v>15</v>
      </c>
      <c r="B500" s="11">
        <v>770161</v>
      </c>
      <c r="C500" s="11">
        <v>217151</v>
      </c>
      <c r="D500" s="11">
        <v>89882.31</v>
      </c>
      <c r="E500" s="11">
        <v>89882.31</v>
      </c>
      <c r="F500" s="14">
        <f t="shared" si="46"/>
        <v>0.41391616893313871</v>
      </c>
      <c r="G500" s="14">
        <f t="shared" si="47"/>
        <v>0.11670587059069466</v>
      </c>
    </row>
    <row r="501" spans="1:7" ht="15" customHeight="1" outlineLevel="3" x14ac:dyDescent="0.25">
      <c r="A501" s="10" t="s">
        <v>26</v>
      </c>
      <c r="B501" s="11">
        <v>45000</v>
      </c>
      <c r="C501" s="11">
        <v>11244</v>
      </c>
      <c r="D501" s="11">
        <v>9040.68</v>
      </c>
      <c r="E501" s="11">
        <v>9040.68</v>
      </c>
      <c r="F501" s="14">
        <f t="shared" si="46"/>
        <v>0.80404482390608323</v>
      </c>
      <c r="G501" s="14">
        <f t="shared" si="47"/>
        <v>0.200904</v>
      </c>
    </row>
    <row r="502" spans="1:7" ht="15" customHeight="1" outlineLevel="3" x14ac:dyDescent="0.25">
      <c r="A502" s="10" t="s">
        <v>57</v>
      </c>
      <c r="B502" s="11">
        <v>1300000</v>
      </c>
      <c r="C502" s="11"/>
      <c r="D502" s="12"/>
      <c r="E502" s="12"/>
      <c r="F502" s="14">
        <v>0</v>
      </c>
      <c r="G502" s="14">
        <f t="shared" si="47"/>
        <v>0</v>
      </c>
    </row>
    <row r="503" spans="1:7" ht="36.75" customHeight="1" outlineLevel="1" x14ac:dyDescent="0.25">
      <c r="A503" s="28" t="s">
        <v>87</v>
      </c>
      <c r="B503" s="22">
        <v>10907467</v>
      </c>
      <c r="C503" s="22">
        <v>2842104</v>
      </c>
      <c r="D503" s="22">
        <v>2071644.08</v>
      </c>
      <c r="E503" s="22">
        <v>2071644.08</v>
      </c>
      <c r="F503" s="23">
        <f t="shared" ref="F503:F522" si="48">D503/C503</f>
        <v>0.7289121298868726</v>
      </c>
      <c r="G503" s="23">
        <f t="shared" si="47"/>
        <v>0.18992897984472473</v>
      </c>
    </row>
    <row r="504" spans="1:7" s="78" customFormat="1" ht="24.75" customHeight="1" outlineLevel="2" x14ac:dyDescent="0.25">
      <c r="A504" s="8" t="s">
        <v>25</v>
      </c>
      <c r="B504" s="9">
        <v>10907467</v>
      </c>
      <c r="C504" s="9">
        <v>2842104</v>
      </c>
      <c r="D504" s="9">
        <v>2071644.08</v>
      </c>
      <c r="E504" s="9">
        <v>2071644.08</v>
      </c>
      <c r="F504" s="16">
        <f t="shared" si="48"/>
        <v>0.7289121298868726</v>
      </c>
      <c r="G504" s="16">
        <f t="shared" si="47"/>
        <v>0.18992897984472473</v>
      </c>
    </row>
    <row r="505" spans="1:7" ht="18" customHeight="1" outlineLevel="3" x14ac:dyDescent="0.25">
      <c r="A505" s="10" t="s">
        <v>9</v>
      </c>
      <c r="B505" s="11">
        <v>6413107</v>
      </c>
      <c r="C505" s="11">
        <v>1521000</v>
      </c>
      <c r="D505" s="11">
        <v>1507473.28</v>
      </c>
      <c r="E505" s="11">
        <v>1507473.28</v>
      </c>
      <c r="F505" s="14">
        <f t="shared" si="48"/>
        <v>0.99110669296515452</v>
      </c>
      <c r="G505" s="14">
        <f t="shared" si="47"/>
        <v>0.23506130179958015</v>
      </c>
    </row>
    <row r="506" spans="1:7" ht="18" customHeight="1" outlineLevel="3" x14ac:dyDescent="0.25">
      <c r="A506" s="10" t="s">
        <v>10</v>
      </c>
      <c r="B506" s="11">
        <v>1410883</v>
      </c>
      <c r="C506" s="11">
        <v>334620</v>
      </c>
      <c r="D506" s="11">
        <v>304783.44</v>
      </c>
      <c r="E506" s="11">
        <v>304783.44</v>
      </c>
      <c r="F506" s="14">
        <f t="shared" si="48"/>
        <v>0.91083449883449885</v>
      </c>
      <c r="G506" s="14">
        <f t="shared" si="47"/>
        <v>0.2160231854802985</v>
      </c>
    </row>
    <row r="507" spans="1:7" ht="18" customHeight="1" outlineLevel="3" x14ac:dyDescent="0.25">
      <c r="A507" s="10" t="s">
        <v>11</v>
      </c>
      <c r="B507" s="11">
        <v>400000</v>
      </c>
      <c r="C507" s="11">
        <v>68000</v>
      </c>
      <c r="D507" s="11">
        <v>11700</v>
      </c>
      <c r="E507" s="11">
        <v>11700</v>
      </c>
      <c r="F507" s="14">
        <f t="shared" si="48"/>
        <v>0.17205882352941176</v>
      </c>
      <c r="G507" s="14">
        <f t="shared" si="47"/>
        <v>2.9250000000000002E-2</v>
      </c>
    </row>
    <row r="508" spans="1:7" ht="18" customHeight="1" outlineLevel="3" x14ac:dyDescent="0.25">
      <c r="A508" s="10" t="s">
        <v>12</v>
      </c>
      <c r="B508" s="11">
        <v>794664</v>
      </c>
      <c r="C508" s="11">
        <v>70000</v>
      </c>
      <c r="D508" s="11">
        <v>20449.96</v>
      </c>
      <c r="E508" s="11">
        <v>20449.96</v>
      </c>
      <c r="F508" s="14">
        <f t="shared" si="48"/>
        <v>0.29214228571428569</v>
      </c>
      <c r="G508" s="14">
        <f t="shared" si="47"/>
        <v>2.5734096423142359E-2</v>
      </c>
    </row>
    <row r="509" spans="1:7" ht="18" customHeight="1" outlineLevel="3" x14ac:dyDescent="0.25">
      <c r="A509" s="10" t="s">
        <v>13</v>
      </c>
      <c r="B509" s="11">
        <v>1129002</v>
      </c>
      <c r="C509" s="11">
        <v>518894</v>
      </c>
      <c r="D509" s="11">
        <v>62234.65</v>
      </c>
      <c r="E509" s="11">
        <v>62234.65</v>
      </c>
      <c r="F509" s="14">
        <f t="shared" si="48"/>
        <v>0.11993711625110332</v>
      </c>
      <c r="G509" s="14">
        <f t="shared" si="47"/>
        <v>5.5123595883798261E-2</v>
      </c>
    </row>
    <row r="510" spans="1:7" ht="18" customHeight="1" outlineLevel="3" x14ac:dyDescent="0.25">
      <c r="A510" s="10" t="s">
        <v>14</v>
      </c>
      <c r="B510" s="11">
        <v>85321</v>
      </c>
      <c r="C510" s="11">
        <v>25826</v>
      </c>
      <c r="D510" s="11">
        <v>8330.69</v>
      </c>
      <c r="E510" s="11">
        <v>8330.69</v>
      </c>
      <c r="F510" s="14">
        <f t="shared" si="48"/>
        <v>0.3225698908077132</v>
      </c>
      <c r="G510" s="14">
        <f t="shared" si="47"/>
        <v>9.7639385379918203E-2</v>
      </c>
    </row>
    <row r="511" spans="1:7" ht="18" customHeight="1" outlineLevel="3" x14ac:dyDescent="0.25">
      <c r="A511" s="10" t="s">
        <v>15</v>
      </c>
      <c r="B511" s="11">
        <v>654990</v>
      </c>
      <c r="C511" s="11">
        <v>298889</v>
      </c>
      <c r="D511" s="11">
        <v>154679.14000000001</v>
      </c>
      <c r="E511" s="11">
        <v>154679.14000000001</v>
      </c>
      <c r="F511" s="14">
        <f t="shared" si="48"/>
        <v>0.51751365891685552</v>
      </c>
      <c r="G511" s="14">
        <f t="shared" si="47"/>
        <v>0.2361549641979267</v>
      </c>
    </row>
    <row r="512" spans="1:7" ht="18" customHeight="1" outlineLevel="3" x14ac:dyDescent="0.25">
      <c r="A512" s="10" t="s">
        <v>26</v>
      </c>
      <c r="B512" s="11">
        <v>19500</v>
      </c>
      <c r="C512" s="11">
        <v>4875</v>
      </c>
      <c r="D512" s="11">
        <v>1992.92</v>
      </c>
      <c r="E512" s="11">
        <v>1992.92</v>
      </c>
      <c r="F512" s="14">
        <f t="shared" si="48"/>
        <v>0.4088041025641026</v>
      </c>
      <c r="G512" s="14">
        <f t="shared" si="47"/>
        <v>0.10220102564102565</v>
      </c>
    </row>
    <row r="513" spans="1:7" ht="27.75" customHeight="1" outlineLevel="1" x14ac:dyDescent="0.25">
      <c r="A513" s="28" t="s">
        <v>88</v>
      </c>
      <c r="B513" s="22">
        <v>4444243</v>
      </c>
      <c r="C513" s="22">
        <v>1082083</v>
      </c>
      <c r="D513" s="22">
        <v>1033177.79</v>
      </c>
      <c r="E513" s="22">
        <v>1016527.79</v>
      </c>
      <c r="F513" s="23">
        <f t="shared" si="48"/>
        <v>0.95480456674765246</v>
      </c>
      <c r="G513" s="23">
        <f t="shared" si="47"/>
        <v>0.23247553970383708</v>
      </c>
    </row>
    <row r="514" spans="1:7" s="78" customFormat="1" ht="27" customHeight="1" outlineLevel="2" x14ac:dyDescent="0.25">
      <c r="A514" s="8" t="s">
        <v>25</v>
      </c>
      <c r="B514" s="9">
        <v>4444243</v>
      </c>
      <c r="C514" s="9">
        <v>1082083</v>
      </c>
      <c r="D514" s="9">
        <v>1033177.79</v>
      </c>
      <c r="E514" s="9">
        <v>1016527.79</v>
      </c>
      <c r="F514" s="16">
        <f t="shared" si="48"/>
        <v>0.95480456674765246</v>
      </c>
      <c r="G514" s="16">
        <f t="shared" si="47"/>
        <v>0.23247553970383708</v>
      </c>
    </row>
    <row r="515" spans="1:7" ht="15" customHeight="1" outlineLevel="3" x14ac:dyDescent="0.25">
      <c r="A515" s="10" t="s">
        <v>9</v>
      </c>
      <c r="B515" s="11">
        <v>3352525</v>
      </c>
      <c r="C515" s="11">
        <v>789000</v>
      </c>
      <c r="D515" s="11">
        <v>788323.31</v>
      </c>
      <c r="E515" s="11">
        <v>788323.31</v>
      </c>
      <c r="F515" s="14">
        <f t="shared" si="48"/>
        <v>0.99914234474017749</v>
      </c>
      <c r="G515" s="14">
        <f t="shared" si="47"/>
        <v>0.23514315627773097</v>
      </c>
    </row>
    <row r="516" spans="1:7" ht="15" customHeight="1" outlineLevel="3" x14ac:dyDescent="0.25">
      <c r="A516" s="10" t="s">
        <v>10</v>
      </c>
      <c r="B516" s="11">
        <v>737556</v>
      </c>
      <c r="C516" s="11">
        <v>173580</v>
      </c>
      <c r="D516" s="11">
        <v>173431.19</v>
      </c>
      <c r="E516" s="11">
        <v>173431.19</v>
      </c>
      <c r="F516" s="14">
        <f t="shared" si="48"/>
        <v>0.99914270077197831</v>
      </c>
      <c r="G516" s="14">
        <f t="shared" si="47"/>
        <v>0.23514308066099388</v>
      </c>
    </row>
    <row r="517" spans="1:7" ht="15" customHeight="1" outlineLevel="3" x14ac:dyDescent="0.25">
      <c r="A517" s="10" t="s">
        <v>11</v>
      </c>
      <c r="B517" s="11">
        <v>50000</v>
      </c>
      <c r="C517" s="11">
        <v>20000</v>
      </c>
      <c r="D517" s="11">
        <v>16650</v>
      </c>
      <c r="E517" s="12"/>
      <c r="F517" s="14">
        <f t="shared" si="48"/>
        <v>0.83250000000000002</v>
      </c>
      <c r="G517" s="14">
        <f t="shared" si="47"/>
        <v>0.33300000000000002</v>
      </c>
    </row>
    <row r="518" spans="1:7" ht="15" customHeight="1" outlineLevel="3" x14ac:dyDescent="0.25">
      <c r="A518" s="10" t="s">
        <v>12</v>
      </c>
      <c r="B518" s="11">
        <v>230000</v>
      </c>
      <c r="C518" s="11">
        <v>70000</v>
      </c>
      <c r="D518" s="11">
        <v>49744.66</v>
      </c>
      <c r="E518" s="11">
        <v>49744.66</v>
      </c>
      <c r="F518" s="14">
        <f t="shared" si="48"/>
        <v>0.7106380000000001</v>
      </c>
      <c r="G518" s="14">
        <f t="shared" si="47"/>
        <v>0.21628113043478261</v>
      </c>
    </row>
    <row r="519" spans="1:7" ht="15" customHeight="1" outlineLevel="3" x14ac:dyDescent="0.25">
      <c r="A519" s="10" t="s">
        <v>13</v>
      </c>
      <c r="B519" s="11">
        <v>33548</v>
      </c>
      <c r="C519" s="11">
        <v>17308</v>
      </c>
      <c r="D519" s="12"/>
      <c r="E519" s="12"/>
      <c r="F519" s="14">
        <f t="shared" si="48"/>
        <v>0</v>
      </c>
      <c r="G519" s="14">
        <f t="shared" si="47"/>
        <v>0</v>
      </c>
    </row>
    <row r="520" spans="1:7" ht="15" customHeight="1" outlineLevel="3" x14ac:dyDescent="0.25">
      <c r="A520" s="10" t="s">
        <v>14</v>
      </c>
      <c r="B520" s="11">
        <v>3664</v>
      </c>
      <c r="C520" s="11">
        <v>891</v>
      </c>
      <c r="D520" s="13">
        <v>828.65</v>
      </c>
      <c r="E520" s="13">
        <v>828.65</v>
      </c>
      <c r="F520" s="14">
        <f t="shared" si="48"/>
        <v>0.93002244668911338</v>
      </c>
      <c r="G520" s="14">
        <f t="shared" si="47"/>
        <v>0.2261599344978166</v>
      </c>
    </row>
    <row r="521" spans="1:7" ht="15" customHeight="1" outlineLevel="3" x14ac:dyDescent="0.25">
      <c r="A521" s="10" t="s">
        <v>15</v>
      </c>
      <c r="B521" s="11">
        <v>33750</v>
      </c>
      <c r="C521" s="11">
        <v>10500</v>
      </c>
      <c r="D521" s="11">
        <v>3738</v>
      </c>
      <c r="E521" s="11">
        <v>3738</v>
      </c>
      <c r="F521" s="14">
        <f t="shared" si="48"/>
        <v>0.35599999999999998</v>
      </c>
      <c r="G521" s="14">
        <f t="shared" si="47"/>
        <v>0.11075555555555555</v>
      </c>
    </row>
    <row r="522" spans="1:7" ht="15" customHeight="1" outlineLevel="3" x14ac:dyDescent="0.25">
      <c r="A522" s="10" t="s">
        <v>26</v>
      </c>
      <c r="B522" s="11">
        <v>3200</v>
      </c>
      <c r="C522" s="11">
        <v>804</v>
      </c>
      <c r="D522" s="13">
        <v>461.98</v>
      </c>
      <c r="E522" s="13">
        <v>461.98</v>
      </c>
      <c r="F522" s="14">
        <f t="shared" si="48"/>
        <v>0.57460199004975132</v>
      </c>
      <c r="G522" s="14">
        <f t="shared" si="47"/>
        <v>0.14436875000000002</v>
      </c>
    </row>
    <row r="523" spans="1:7" ht="19.5" customHeight="1" outlineLevel="3" x14ac:dyDescent="0.25">
      <c r="A523" s="24" t="s">
        <v>49</v>
      </c>
      <c r="B523" s="25">
        <f>B524+B570</f>
        <v>60535436</v>
      </c>
      <c r="C523" s="25">
        <f t="shared" ref="C523:E523" si="49">C524+C570</f>
        <v>15002368</v>
      </c>
      <c r="D523" s="25">
        <f t="shared" si="49"/>
        <v>13303698.130000001</v>
      </c>
      <c r="E523" s="25">
        <f t="shared" si="49"/>
        <v>13221793.380000001</v>
      </c>
      <c r="F523" s="39">
        <f t="shared" ref="F523" si="50">D523/C523</f>
        <v>0.88677321673485154</v>
      </c>
      <c r="G523" s="39">
        <f t="shared" ref="G523" si="51">D523/B523</f>
        <v>0.21976711508280869</v>
      </c>
    </row>
    <row r="524" spans="1:7" ht="26.1" customHeight="1" outlineLevel="1" x14ac:dyDescent="0.25">
      <c r="A524" s="28" t="s">
        <v>89</v>
      </c>
      <c r="B524" s="22">
        <v>60415436</v>
      </c>
      <c r="C524" s="22">
        <v>14902368</v>
      </c>
      <c r="D524" s="22">
        <v>13264498.130000001</v>
      </c>
      <c r="E524" s="22">
        <v>13182593.380000001</v>
      </c>
      <c r="F524" s="23">
        <f t="shared" ref="F524:F534" si="52">D524/C524</f>
        <v>0.89009331470005304</v>
      </c>
      <c r="G524" s="23">
        <f t="shared" ref="G524:G555" si="53">D524/B524</f>
        <v>0.21955478613114704</v>
      </c>
    </row>
    <row r="525" spans="1:7" s="78" customFormat="1" ht="12" customHeight="1" outlineLevel="2" x14ac:dyDescent="0.25">
      <c r="A525" s="8" t="s">
        <v>50</v>
      </c>
      <c r="B525" s="9">
        <v>14990964</v>
      </c>
      <c r="C525" s="9">
        <v>3780064</v>
      </c>
      <c r="D525" s="9">
        <v>3073582.33</v>
      </c>
      <c r="E525" s="9">
        <v>3073582.33</v>
      </c>
      <c r="F525" s="16">
        <f t="shared" si="52"/>
        <v>0.81310325169097664</v>
      </c>
      <c r="G525" s="16">
        <f t="shared" si="53"/>
        <v>0.20502899813514328</v>
      </c>
    </row>
    <row r="526" spans="1:7" ht="15.75" customHeight="1" outlineLevel="3" x14ac:dyDescent="0.25">
      <c r="A526" s="10" t="s">
        <v>9</v>
      </c>
      <c r="B526" s="11">
        <v>9875516</v>
      </c>
      <c r="C526" s="11">
        <v>2355000</v>
      </c>
      <c r="D526" s="11">
        <v>2354569.69</v>
      </c>
      <c r="E526" s="11">
        <v>2354569.69</v>
      </c>
      <c r="F526" s="14">
        <f t="shared" si="52"/>
        <v>0.99981727813163479</v>
      </c>
      <c r="G526" s="14">
        <f t="shared" si="53"/>
        <v>0.23842497850238914</v>
      </c>
    </row>
    <row r="527" spans="1:7" ht="15.75" customHeight="1" outlineLevel="3" x14ac:dyDescent="0.25">
      <c r="A527" s="10" t="s">
        <v>10</v>
      </c>
      <c r="B527" s="11">
        <v>2172614</v>
      </c>
      <c r="C527" s="11">
        <v>518100</v>
      </c>
      <c r="D527" s="11">
        <v>515567.94</v>
      </c>
      <c r="E527" s="11">
        <v>515567.94</v>
      </c>
      <c r="F527" s="14">
        <f t="shared" si="52"/>
        <v>0.99511279675738273</v>
      </c>
      <c r="G527" s="14">
        <f t="shared" si="53"/>
        <v>0.23730305521367348</v>
      </c>
    </row>
    <row r="528" spans="1:7" ht="15.75" customHeight="1" outlineLevel="3" x14ac:dyDescent="0.25">
      <c r="A528" s="10" t="s">
        <v>11</v>
      </c>
      <c r="B528" s="11">
        <v>236300</v>
      </c>
      <c r="C528" s="11">
        <v>78300</v>
      </c>
      <c r="D528" s="12"/>
      <c r="E528" s="12"/>
      <c r="F528" s="14">
        <f t="shared" si="52"/>
        <v>0</v>
      </c>
      <c r="G528" s="14">
        <f t="shared" si="53"/>
        <v>0</v>
      </c>
    </row>
    <row r="529" spans="1:7" ht="15.75" customHeight="1" outlineLevel="3" x14ac:dyDescent="0.25">
      <c r="A529" s="10" t="s">
        <v>12</v>
      </c>
      <c r="B529" s="11">
        <v>654559</v>
      </c>
      <c r="C529" s="11">
        <v>239559</v>
      </c>
      <c r="D529" s="11">
        <v>42338.879999999997</v>
      </c>
      <c r="E529" s="11">
        <v>42338.879999999997</v>
      </c>
      <c r="F529" s="14">
        <f t="shared" si="52"/>
        <v>0.17673675378508008</v>
      </c>
      <c r="G529" s="14">
        <f t="shared" si="53"/>
        <v>6.4683061419978941E-2</v>
      </c>
    </row>
    <row r="530" spans="1:7" ht="15.75" customHeight="1" outlineLevel="3" x14ac:dyDescent="0.25">
      <c r="A530" s="10" t="s">
        <v>21</v>
      </c>
      <c r="B530" s="11">
        <v>545000</v>
      </c>
      <c r="C530" s="11">
        <v>150000</v>
      </c>
      <c r="D530" s="11">
        <v>1200</v>
      </c>
      <c r="E530" s="11">
        <v>1200</v>
      </c>
      <c r="F530" s="14">
        <f t="shared" si="52"/>
        <v>8.0000000000000002E-3</v>
      </c>
      <c r="G530" s="14">
        <f t="shared" si="53"/>
        <v>2.2018348623853213E-3</v>
      </c>
    </row>
    <row r="531" spans="1:7" ht="15.75" customHeight="1" outlineLevel="3" x14ac:dyDescent="0.25">
      <c r="A531" s="10" t="s">
        <v>13</v>
      </c>
      <c r="B531" s="11">
        <v>444732</v>
      </c>
      <c r="C531" s="11">
        <v>250202</v>
      </c>
      <c r="D531" s="11">
        <v>11259.87</v>
      </c>
      <c r="E531" s="11">
        <v>11259.87</v>
      </c>
      <c r="F531" s="14">
        <f t="shared" si="52"/>
        <v>4.5003117481075293E-2</v>
      </c>
      <c r="G531" s="14">
        <f t="shared" si="53"/>
        <v>2.5318326542726859E-2</v>
      </c>
    </row>
    <row r="532" spans="1:7" ht="15.75" customHeight="1" outlineLevel="3" x14ac:dyDescent="0.25">
      <c r="A532" s="10" t="s">
        <v>14</v>
      </c>
      <c r="B532" s="11">
        <v>158055</v>
      </c>
      <c r="C532" s="11">
        <v>33945</v>
      </c>
      <c r="D532" s="11">
        <v>7061.43</v>
      </c>
      <c r="E532" s="11">
        <v>7061.43</v>
      </c>
      <c r="F532" s="14">
        <f t="shared" si="52"/>
        <v>0.20802562969509503</v>
      </c>
      <c r="G532" s="14">
        <f t="shared" si="53"/>
        <v>4.4677042801556426E-2</v>
      </c>
    </row>
    <row r="533" spans="1:7" ht="15.75" customHeight="1" outlineLevel="3" x14ac:dyDescent="0.25">
      <c r="A533" s="10" t="s">
        <v>15</v>
      </c>
      <c r="B533" s="11">
        <v>515954</v>
      </c>
      <c r="C533" s="11">
        <v>150152</v>
      </c>
      <c r="D533" s="11">
        <v>138491.51999999999</v>
      </c>
      <c r="E533" s="11">
        <v>138491.51999999999</v>
      </c>
      <c r="F533" s="14">
        <f t="shared" si="52"/>
        <v>0.92234215994458946</v>
      </c>
      <c r="G533" s="14">
        <f t="shared" si="53"/>
        <v>0.2684183473720525</v>
      </c>
    </row>
    <row r="534" spans="1:7" ht="15.75" customHeight="1" outlineLevel="3" x14ac:dyDescent="0.25">
      <c r="A534" s="10" t="s">
        <v>26</v>
      </c>
      <c r="B534" s="11">
        <v>21734</v>
      </c>
      <c r="C534" s="11">
        <v>4806</v>
      </c>
      <c r="D534" s="11">
        <v>3093</v>
      </c>
      <c r="E534" s="11">
        <v>3093</v>
      </c>
      <c r="F534" s="14">
        <f t="shared" si="52"/>
        <v>0.64357053682896381</v>
      </c>
      <c r="G534" s="14">
        <f t="shared" si="53"/>
        <v>0.14231158553418607</v>
      </c>
    </row>
    <row r="535" spans="1:7" ht="15.75" customHeight="1" outlineLevel="3" x14ac:dyDescent="0.25">
      <c r="A535" s="10" t="s">
        <v>56</v>
      </c>
      <c r="B535" s="11">
        <v>366500</v>
      </c>
      <c r="C535" s="12"/>
      <c r="D535" s="12"/>
      <c r="E535" s="12"/>
      <c r="F535" s="14">
        <v>0</v>
      </c>
      <c r="G535" s="14">
        <f t="shared" si="53"/>
        <v>0</v>
      </c>
    </row>
    <row r="536" spans="1:7" s="78" customFormat="1" ht="15" customHeight="1" outlineLevel="2" x14ac:dyDescent="0.25">
      <c r="A536" s="8" t="s">
        <v>51</v>
      </c>
      <c r="B536" s="9">
        <v>19156129</v>
      </c>
      <c r="C536" s="9">
        <v>4936213</v>
      </c>
      <c r="D536" s="9">
        <v>4745657.2300000004</v>
      </c>
      <c r="E536" s="9">
        <v>4684863.6399999997</v>
      </c>
      <c r="F536" s="16">
        <f t="shared" ref="F536:F545" si="54">D536/C536</f>
        <v>0.96139636397375894</v>
      </c>
      <c r="G536" s="16">
        <f t="shared" si="53"/>
        <v>0.24773571059163366</v>
      </c>
    </row>
    <row r="537" spans="1:7" ht="15.75" customHeight="1" outlineLevel="3" x14ac:dyDescent="0.25">
      <c r="A537" s="10" t="s">
        <v>9</v>
      </c>
      <c r="B537" s="11">
        <v>14230943</v>
      </c>
      <c r="C537" s="11">
        <v>3582733</v>
      </c>
      <c r="D537" s="11">
        <v>3555350.31</v>
      </c>
      <c r="E537" s="11">
        <v>3555350.31</v>
      </c>
      <c r="F537" s="14">
        <f t="shared" si="54"/>
        <v>0.99235703860711921</v>
      </c>
      <c r="G537" s="14">
        <f t="shared" si="53"/>
        <v>0.24983237653330492</v>
      </c>
    </row>
    <row r="538" spans="1:7" ht="15.75" customHeight="1" outlineLevel="3" x14ac:dyDescent="0.25">
      <c r="A538" s="10" t="s">
        <v>10</v>
      </c>
      <c r="B538" s="11">
        <v>3130807</v>
      </c>
      <c r="C538" s="11">
        <v>788201</v>
      </c>
      <c r="D538" s="11">
        <v>780230.43</v>
      </c>
      <c r="E538" s="11">
        <v>780230.43</v>
      </c>
      <c r="F538" s="14">
        <f t="shared" si="54"/>
        <v>0.98988764287282061</v>
      </c>
      <c r="G538" s="14">
        <f t="shared" si="53"/>
        <v>0.24921064441212762</v>
      </c>
    </row>
    <row r="539" spans="1:7" ht="15.75" customHeight="1" outlineLevel="3" x14ac:dyDescent="0.25">
      <c r="A539" s="10" t="s">
        <v>11</v>
      </c>
      <c r="B539" s="11">
        <v>186200</v>
      </c>
      <c r="C539" s="11">
        <v>46550</v>
      </c>
      <c r="D539" s="11">
        <v>46256.84</v>
      </c>
      <c r="E539" s="11">
        <v>46256.84</v>
      </c>
      <c r="F539" s="14">
        <f t="shared" si="54"/>
        <v>0.99370225563909764</v>
      </c>
      <c r="G539" s="14">
        <f t="shared" si="53"/>
        <v>0.24842556390977441</v>
      </c>
    </row>
    <row r="540" spans="1:7" ht="15.75" customHeight="1" outlineLevel="3" x14ac:dyDescent="0.25">
      <c r="A540" s="10" t="s">
        <v>12</v>
      </c>
      <c r="B540" s="11">
        <v>413800</v>
      </c>
      <c r="C540" s="11">
        <v>103453</v>
      </c>
      <c r="D540" s="11">
        <v>40904.620000000003</v>
      </c>
      <c r="E540" s="11">
        <v>40904.620000000003</v>
      </c>
      <c r="F540" s="14">
        <f t="shared" si="54"/>
        <v>0.39539327037398631</v>
      </c>
      <c r="G540" s="14">
        <f t="shared" si="53"/>
        <v>9.8851184146930893E-2</v>
      </c>
    </row>
    <row r="541" spans="1:7" ht="15.75" customHeight="1" outlineLevel="3" x14ac:dyDescent="0.25">
      <c r="A541" s="10" t="s">
        <v>21</v>
      </c>
      <c r="B541" s="11">
        <v>490000</v>
      </c>
      <c r="C541" s="11">
        <v>147000</v>
      </c>
      <c r="D541" s="11">
        <v>139987.29</v>
      </c>
      <c r="E541" s="11">
        <v>79193.7</v>
      </c>
      <c r="F541" s="14">
        <f t="shared" si="54"/>
        <v>0.95229448979591846</v>
      </c>
      <c r="G541" s="14">
        <f t="shared" si="53"/>
        <v>0.28568834693877554</v>
      </c>
    </row>
    <row r="542" spans="1:7" ht="15.75" customHeight="1" outlineLevel="3" x14ac:dyDescent="0.25">
      <c r="A542" s="10" t="s">
        <v>13</v>
      </c>
      <c r="B542" s="11">
        <v>408450</v>
      </c>
      <c r="C542" s="11">
        <v>205537</v>
      </c>
      <c r="D542" s="11">
        <v>130401.94</v>
      </c>
      <c r="E542" s="11">
        <v>130401.94</v>
      </c>
      <c r="F542" s="14">
        <f t="shared" si="54"/>
        <v>0.6344450877457587</v>
      </c>
      <c r="G542" s="14">
        <f t="shared" si="53"/>
        <v>0.31926047251805606</v>
      </c>
    </row>
    <row r="543" spans="1:7" ht="15.75" customHeight="1" outlineLevel="3" x14ac:dyDescent="0.25">
      <c r="A543" s="10" t="s">
        <v>14</v>
      </c>
      <c r="B543" s="11">
        <v>32834</v>
      </c>
      <c r="C543" s="11">
        <v>8210</v>
      </c>
      <c r="D543" s="11">
        <v>1694.74</v>
      </c>
      <c r="E543" s="11">
        <v>1694.74</v>
      </c>
      <c r="F543" s="14">
        <f t="shared" si="54"/>
        <v>0.20642387332521317</v>
      </c>
      <c r="G543" s="14">
        <f t="shared" si="53"/>
        <v>5.1615398672108181E-2</v>
      </c>
    </row>
    <row r="544" spans="1:7" ht="15.75" customHeight="1" outlineLevel="3" x14ac:dyDescent="0.25">
      <c r="A544" s="10" t="s">
        <v>15</v>
      </c>
      <c r="B544" s="11">
        <v>191095</v>
      </c>
      <c r="C544" s="11">
        <v>47779</v>
      </c>
      <c r="D544" s="11">
        <v>47738.06</v>
      </c>
      <c r="E544" s="11">
        <v>47738.06</v>
      </c>
      <c r="F544" s="14">
        <f t="shared" si="54"/>
        <v>0.99914313819879019</v>
      </c>
      <c r="G544" s="14">
        <f t="shared" si="53"/>
        <v>0.24981323425521337</v>
      </c>
    </row>
    <row r="545" spans="1:7" ht="15.75" customHeight="1" outlineLevel="3" x14ac:dyDescent="0.25">
      <c r="A545" s="10" t="s">
        <v>26</v>
      </c>
      <c r="B545" s="11">
        <v>27000</v>
      </c>
      <c r="C545" s="11">
        <v>6750</v>
      </c>
      <c r="D545" s="11">
        <v>3093</v>
      </c>
      <c r="E545" s="11">
        <v>3093</v>
      </c>
      <c r="F545" s="14">
        <f t="shared" si="54"/>
        <v>0.4582222222222222</v>
      </c>
      <c r="G545" s="14">
        <f t="shared" si="53"/>
        <v>0.11455555555555555</v>
      </c>
    </row>
    <row r="546" spans="1:7" ht="30.75" customHeight="1" outlineLevel="3" x14ac:dyDescent="0.25">
      <c r="A546" s="10" t="s">
        <v>56</v>
      </c>
      <c r="B546" s="11">
        <v>45000</v>
      </c>
      <c r="C546" s="12"/>
      <c r="D546" s="12"/>
      <c r="E546" s="12"/>
      <c r="F546" s="14">
        <v>0</v>
      </c>
      <c r="G546" s="14">
        <f t="shared" si="53"/>
        <v>0</v>
      </c>
    </row>
    <row r="547" spans="1:7" s="78" customFormat="1" ht="14.25" customHeight="1" outlineLevel="2" x14ac:dyDescent="0.25">
      <c r="A547" s="8" t="s">
        <v>98</v>
      </c>
      <c r="B547" s="9">
        <v>11496447</v>
      </c>
      <c r="C547" s="9">
        <v>2593898</v>
      </c>
      <c r="D547" s="9">
        <v>2301621.19</v>
      </c>
      <c r="E547" s="9">
        <v>2301621.19</v>
      </c>
      <c r="F547" s="16">
        <f>D547/C547</f>
        <v>0.88732139428767054</v>
      </c>
      <c r="G547" s="16">
        <f t="shared" si="53"/>
        <v>0.2002028270125544</v>
      </c>
    </row>
    <row r="548" spans="1:7" ht="15" customHeight="1" outlineLevel="3" x14ac:dyDescent="0.25">
      <c r="A548" s="10" t="s">
        <v>9</v>
      </c>
      <c r="B548" s="11">
        <v>8357738</v>
      </c>
      <c r="C548" s="11">
        <v>1860000</v>
      </c>
      <c r="D548" s="11">
        <v>1767848.03</v>
      </c>
      <c r="E548" s="11">
        <v>1767848.03</v>
      </c>
      <c r="F548" s="14">
        <f>D548/C548</f>
        <v>0.95045593010752694</v>
      </c>
      <c r="G548" s="14">
        <f t="shared" si="53"/>
        <v>0.21152230783018086</v>
      </c>
    </row>
    <row r="549" spans="1:7" ht="15" customHeight="1" outlineLevel="3" x14ac:dyDescent="0.25">
      <c r="A549" s="10" t="s">
        <v>10</v>
      </c>
      <c r="B549" s="11">
        <v>1838703</v>
      </c>
      <c r="C549" s="11">
        <v>409200</v>
      </c>
      <c r="D549" s="11">
        <v>389470.15</v>
      </c>
      <c r="E549" s="11">
        <v>389470.15</v>
      </c>
      <c r="F549" s="14">
        <f>D549/C549</f>
        <v>0.95178433528836759</v>
      </c>
      <c r="G549" s="14">
        <f t="shared" si="53"/>
        <v>0.21181786835611843</v>
      </c>
    </row>
    <row r="550" spans="1:7" ht="15" customHeight="1" outlineLevel="3" x14ac:dyDescent="0.25">
      <c r="A550" s="10" t="s">
        <v>11</v>
      </c>
      <c r="B550" s="11">
        <v>40300</v>
      </c>
      <c r="C550" s="12"/>
      <c r="D550" s="12"/>
      <c r="E550" s="12"/>
      <c r="F550" s="14">
        <v>0</v>
      </c>
      <c r="G550" s="14">
        <f t="shared" si="53"/>
        <v>0</v>
      </c>
    </row>
    <row r="551" spans="1:7" ht="15" customHeight="1" outlineLevel="3" x14ac:dyDescent="0.25">
      <c r="A551" s="10" t="s">
        <v>12</v>
      </c>
      <c r="B551" s="11">
        <v>527800</v>
      </c>
      <c r="C551" s="11">
        <v>90000</v>
      </c>
      <c r="D551" s="11">
        <v>70686.63</v>
      </c>
      <c r="E551" s="11">
        <v>70686.63</v>
      </c>
      <c r="F551" s="14">
        <f t="shared" ref="F551:F557" si="55">D551/C551</f>
        <v>0.78540700000000008</v>
      </c>
      <c r="G551" s="14">
        <f t="shared" si="53"/>
        <v>0.13392692307692308</v>
      </c>
    </row>
    <row r="552" spans="1:7" ht="15" customHeight="1" outlineLevel="3" x14ac:dyDescent="0.25">
      <c r="A552" s="10" t="s">
        <v>21</v>
      </c>
      <c r="B552" s="11">
        <v>150000</v>
      </c>
      <c r="C552" s="11">
        <v>60000</v>
      </c>
      <c r="D552" s="11">
        <v>31387.39</v>
      </c>
      <c r="E552" s="11">
        <v>31387.39</v>
      </c>
      <c r="F552" s="14">
        <f t="shared" si="55"/>
        <v>0.52312316666666669</v>
      </c>
      <c r="G552" s="14">
        <f t="shared" si="53"/>
        <v>0.20924926666666666</v>
      </c>
    </row>
    <row r="553" spans="1:7" ht="15" customHeight="1" outlineLevel="3" x14ac:dyDescent="0.25">
      <c r="A553" s="10" t="s">
        <v>13</v>
      </c>
      <c r="B553" s="11">
        <v>195735</v>
      </c>
      <c r="C553" s="11">
        <v>75000</v>
      </c>
      <c r="D553" s="11">
        <v>12357.35</v>
      </c>
      <c r="E553" s="11">
        <v>12357.35</v>
      </c>
      <c r="F553" s="14">
        <f t="shared" si="55"/>
        <v>0.16476466666666667</v>
      </c>
      <c r="G553" s="14">
        <f t="shared" si="53"/>
        <v>6.3133062559072223E-2</v>
      </c>
    </row>
    <row r="554" spans="1:7" ht="15" customHeight="1" outlineLevel="3" x14ac:dyDescent="0.25">
      <c r="A554" s="10" t="s">
        <v>14</v>
      </c>
      <c r="B554" s="11">
        <v>68109</v>
      </c>
      <c r="C554" s="11">
        <v>19200</v>
      </c>
      <c r="D554" s="11">
        <v>2531.64</v>
      </c>
      <c r="E554" s="11">
        <v>2531.64</v>
      </c>
      <c r="F554" s="14">
        <f t="shared" si="55"/>
        <v>0.13185624999999998</v>
      </c>
      <c r="G554" s="14">
        <f t="shared" si="53"/>
        <v>3.7170418006430866E-2</v>
      </c>
    </row>
    <row r="555" spans="1:7" ht="15" customHeight="1" outlineLevel="3" x14ac:dyDescent="0.25">
      <c r="A555" s="10" t="s">
        <v>15</v>
      </c>
      <c r="B555" s="11">
        <v>221970</v>
      </c>
      <c r="C555" s="11">
        <v>65391</v>
      </c>
      <c r="D555" s="11">
        <v>27340</v>
      </c>
      <c r="E555" s="11">
        <v>27340</v>
      </c>
      <c r="F555" s="14">
        <f t="shared" si="55"/>
        <v>0.41810035020109804</v>
      </c>
      <c r="G555" s="14">
        <f t="shared" si="53"/>
        <v>0.12316979772041267</v>
      </c>
    </row>
    <row r="556" spans="1:7" ht="15" customHeight="1" outlineLevel="3" x14ac:dyDescent="0.25">
      <c r="A556" s="10" t="s">
        <v>26</v>
      </c>
      <c r="B556" s="11">
        <v>10692</v>
      </c>
      <c r="C556" s="11">
        <v>3207</v>
      </c>
      <c r="D556" s="12"/>
      <c r="E556" s="12"/>
      <c r="F556" s="14">
        <f t="shared" si="55"/>
        <v>0</v>
      </c>
      <c r="G556" s="14">
        <f t="shared" ref="G556:G572" si="56">D556/B556</f>
        <v>0</v>
      </c>
    </row>
    <row r="557" spans="1:7" ht="26.25" customHeight="1" outlineLevel="3" x14ac:dyDescent="0.25">
      <c r="A557" s="10" t="s">
        <v>16</v>
      </c>
      <c r="B557" s="11">
        <v>11900</v>
      </c>
      <c r="C557" s="11">
        <v>11900</v>
      </c>
      <c r="D557" s="12"/>
      <c r="E557" s="12"/>
      <c r="F557" s="14">
        <f t="shared" si="55"/>
        <v>0</v>
      </c>
      <c r="G557" s="14">
        <f t="shared" si="56"/>
        <v>0</v>
      </c>
    </row>
    <row r="558" spans="1:7" ht="29.25" customHeight="1" outlineLevel="3" x14ac:dyDescent="0.25">
      <c r="A558" s="10" t="s">
        <v>56</v>
      </c>
      <c r="B558" s="11">
        <v>73500</v>
      </c>
      <c r="C558" s="12"/>
      <c r="D558" s="12"/>
      <c r="E558" s="12"/>
      <c r="F558" s="14">
        <v>0</v>
      </c>
      <c r="G558" s="14">
        <f t="shared" si="56"/>
        <v>0</v>
      </c>
    </row>
    <row r="559" spans="1:7" s="78" customFormat="1" ht="15" customHeight="1" outlineLevel="2" x14ac:dyDescent="0.25">
      <c r="A559" s="8" t="s">
        <v>52</v>
      </c>
      <c r="B559" s="9">
        <v>14771896</v>
      </c>
      <c r="C559" s="9">
        <v>3592193</v>
      </c>
      <c r="D559" s="9">
        <v>3143637.38</v>
      </c>
      <c r="E559" s="9">
        <v>3122526.22</v>
      </c>
      <c r="F559" s="16">
        <f>D559/C559</f>
        <v>0.87513042311479361</v>
      </c>
      <c r="G559" s="16">
        <f t="shared" si="56"/>
        <v>0.21281204389741168</v>
      </c>
    </row>
    <row r="560" spans="1:7" ht="15.75" customHeight="1" outlineLevel="3" x14ac:dyDescent="0.25">
      <c r="A560" s="10" t="s">
        <v>9</v>
      </c>
      <c r="B560" s="11">
        <v>10287124</v>
      </c>
      <c r="C560" s="11">
        <v>2310000</v>
      </c>
      <c r="D560" s="11">
        <v>2274198.7999999998</v>
      </c>
      <c r="E560" s="11">
        <v>2274198.7999999998</v>
      </c>
      <c r="F560" s="14">
        <f>D560/C560</f>
        <v>0.98450164502164494</v>
      </c>
      <c r="G560" s="14">
        <f t="shared" si="56"/>
        <v>0.22107236191573076</v>
      </c>
    </row>
    <row r="561" spans="1:7" ht="15.75" customHeight="1" outlineLevel="3" x14ac:dyDescent="0.25">
      <c r="A561" s="10" t="s">
        <v>10</v>
      </c>
      <c r="B561" s="11">
        <v>2263167</v>
      </c>
      <c r="C561" s="11">
        <v>508200</v>
      </c>
      <c r="D561" s="11">
        <v>487384.57</v>
      </c>
      <c r="E561" s="11">
        <v>487384.57</v>
      </c>
      <c r="F561" s="14">
        <f>D561/C561</f>
        <v>0.9590408697363243</v>
      </c>
      <c r="G561" s="14">
        <f t="shared" si="56"/>
        <v>0.21535510636201394</v>
      </c>
    </row>
    <row r="562" spans="1:7" ht="15.75" customHeight="1" outlineLevel="3" x14ac:dyDescent="0.25">
      <c r="A562" s="10" t="s">
        <v>11</v>
      </c>
      <c r="B562" s="11">
        <v>130000</v>
      </c>
      <c r="C562" s="12"/>
      <c r="D562" s="12"/>
      <c r="E562" s="12"/>
      <c r="F562" s="14">
        <v>0</v>
      </c>
      <c r="G562" s="14">
        <f t="shared" si="56"/>
        <v>0</v>
      </c>
    </row>
    <row r="563" spans="1:7" ht="15.75" customHeight="1" outlineLevel="3" x14ac:dyDescent="0.25">
      <c r="A563" s="10" t="s">
        <v>12</v>
      </c>
      <c r="B563" s="11">
        <v>320000</v>
      </c>
      <c r="C563" s="11">
        <v>70000</v>
      </c>
      <c r="D563" s="11">
        <v>38675.56</v>
      </c>
      <c r="E563" s="11">
        <v>38675.56</v>
      </c>
      <c r="F563" s="14">
        <f t="shared" ref="F563:F572" si="57">D563/C563</f>
        <v>0.552508</v>
      </c>
      <c r="G563" s="14">
        <f t="shared" si="56"/>
        <v>0.12086112499999999</v>
      </c>
    </row>
    <row r="564" spans="1:7" ht="15.75" customHeight="1" outlineLevel="3" x14ac:dyDescent="0.25">
      <c r="A564" s="10" t="s">
        <v>21</v>
      </c>
      <c r="B564" s="11">
        <v>500000</v>
      </c>
      <c r="C564" s="11">
        <v>160000</v>
      </c>
      <c r="D564" s="11">
        <v>46970.11</v>
      </c>
      <c r="E564" s="11">
        <v>25858.95</v>
      </c>
      <c r="F564" s="14">
        <f t="shared" si="57"/>
        <v>0.29356318749999999</v>
      </c>
      <c r="G564" s="14">
        <f t="shared" si="56"/>
        <v>9.3940220000000005E-2</v>
      </c>
    </row>
    <row r="565" spans="1:7" ht="15.75" customHeight="1" outlineLevel="3" x14ac:dyDescent="0.25">
      <c r="A565" s="10" t="s">
        <v>13</v>
      </c>
      <c r="B565" s="11">
        <v>822713</v>
      </c>
      <c r="C565" s="11">
        <v>411354</v>
      </c>
      <c r="D565" s="11">
        <v>243563.06</v>
      </c>
      <c r="E565" s="11">
        <v>243563.06</v>
      </c>
      <c r="F565" s="14">
        <f t="shared" si="57"/>
        <v>0.59210086689323549</v>
      </c>
      <c r="G565" s="14">
        <f t="shared" si="56"/>
        <v>0.29604863421387528</v>
      </c>
    </row>
    <row r="566" spans="1:7" ht="15.75" customHeight="1" outlineLevel="3" x14ac:dyDescent="0.25">
      <c r="A566" s="10" t="s">
        <v>14</v>
      </c>
      <c r="B566" s="11">
        <v>94589</v>
      </c>
      <c r="C566" s="11">
        <v>25797</v>
      </c>
      <c r="D566" s="11">
        <v>3436.62</v>
      </c>
      <c r="E566" s="11">
        <v>3436.62</v>
      </c>
      <c r="F566" s="14">
        <f t="shared" si="57"/>
        <v>0.1332178160251192</v>
      </c>
      <c r="G566" s="14">
        <f t="shared" si="56"/>
        <v>3.6332131643214326E-2</v>
      </c>
    </row>
    <row r="567" spans="1:7" ht="15.75" customHeight="1" outlineLevel="3" x14ac:dyDescent="0.25">
      <c r="A567" s="10" t="s">
        <v>15</v>
      </c>
      <c r="B567" s="11">
        <v>338655</v>
      </c>
      <c r="C567" s="11">
        <v>102663</v>
      </c>
      <c r="D567" s="11">
        <v>49408.66</v>
      </c>
      <c r="E567" s="11">
        <v>49408.66</v>
      </c>
      <c r="F567" s="14">
        <f t="shared" si="57"/>
        <v>0.48127037004568346</v>
      </c>
      <c r="G567" s="14">
        <f t="shared" si="56"/>
        <v>0.14589673856874991</v>
      </c>
    </row>
    <row r="568" spans="1:7" ht="15.75" customHeight="1" outlineLevel="3" x14ac:dyDescent="0.25">
      <c r="A568" s="10" t="s">
        <v>32</v>
      </c>
      <c r="B568" s="11">
        <v>1060</v>
      </c>
      <c r="C568" s="13">
        <v>531</v>
      </c>
      <c r="D568" s="12"/>
      <c r="E568" s="12"/>
      <c r="F568" s="14">
        <f t="shared" si="57"/>
        <v>0</v>
      </c>
      <c r="G568" s="14">
        <f t="shared" si="56"/>
        <v>0</v>
      </c>
    </row>
    <row r="569" spans="1:7" ht="15.75" customHeight="1" outlineLevel="3" x14ac:dyDescent="0.25">
      <c r="A569" s="10" t="s">
        <v>26</v>
      </c>
      <c r="B569" s="11">
        <v>14588</v>
      </c>
      <c r="C569" s="11">
        <v>3648</v>
      </c>
      <c r="D569" s="12"/>
      <c r="E569" s="12"/>
      <c r="F569" s="14">
        <f t="shared" si="57"/>
        <v>0</v>
      </c>
      <c r="G569" s="14">
        <f t="shared" si="56"/>
        <v>0</v>
      </c>
    </row>
    <row r="570" spans="1:7" s="54" customFormat="1" ht="27" customHeight="1" outlineLevel="1" x14ac:dyDescent="0.25">
      <c r="A570" s="28" t="s">
        <v>125</v>
      </c>
      <c r="B570" s="22">
        <v>120000</v>
      </c>
      <c r="C570" s="22">
        <v>100000</v>
      </c>
      <c r="D570" s="22">
        <v>39200</v>
      </c>
      <c r="E570" s="22">
        <v>39200</v>
      </c>
      <c r="F570" s="23">
        <f t="shared" si="57"/>
        <v>0.39200000000000002</v>
      </c>
      <c r="G570" s="23">
        <f t="shared" si="56"/>
        <v>0.32666666666666666</v>
      </c>
    </row>
    <row r="571" spans="1:7" s="78" customFormat="1" ht="24.75" customHeight="1" outlineLevel="2" x14ac:dyDescent="0.25">
      <c r="A571" s="8" t="s">
        <v>22</v>
      </c>
      <c r="B571" s="9">
        <v>120000</v>
      </c>
      <c r="C571" s="9">
        <v>100000</v>
      </c>
      <c r="D571" s="9">
        <v>39200</v>
      </c>
      <c r="E571" s="9">
        <v>39200</v>
      </c>
      <c r="F571" s="16">
        <f t="shared" si="57"/>
        <v>0.39200000000000002</v>
      </c>
      <c r="G571" s="16">
        <f t="shared" si="56"/>
        <v>0.32666666666666666</v>
      </c>
    </row>
    <row r="572" spans="1:7" ht="16.5" customHeight="1" outlineLevel="3" x14ac:dyDescent="0.25">
      <c r="A572" s="10" t="s">
        <v>11</v>
      </c>
      <c r="B572" s="11">
        <v>120000</v>
      </c>
      <c r="C572" s="11">
        <v>100000</v>
      </c>
      <c r="D572" s="11">
        <v>39200</v>
      </c>
      <c r="E572" s="11">
        <v>39200</v>
      </c>
      <c r="F572" s="14">
        <f t="shared" si="57"/>
        <v>0.39200000000000002</v>
      </c>
      <c r="G572" s="14">
        <f t="shared" si="56"/>
        <v>0.32666666666666666</v>
      </c>
    </row>
    <row r="573" spans="1:7" ht="23.25" customHeight="1" outlineLevel="3" x14ac:dyDescent="0.25">
      <c r="A573" s="24" t="s">
        <v>53</v>
      </c>
      <c r="B573" s="25">
        <f>B574+B577</f>
        <v>88613338</v>
      </c>
      <c r="C573" s="25">
        <f t="shared" ref="C573:E573" si="58">C574+C577</f>
        <v>86416451</v>
      </c>
      <c r="D573" s="25">
        <f t="shared" si="58"/>
        <v>0</v>
      </c>
      <c r="E573" s="25">
        <f t="shared" si="58"/>
        <v>0</v>
      </c>
      <c r="F573" s="26">
        <f t="shared" ref="F573" si="59">D573/C573</f>
        <v>0</v>
      </c>
      <c r="G573" s="26">
        <f t="shared" ref="G573" si="60">D573/B573</f>
        <v>0</v>
      </c>
    </row>
    <row r="574" spans="1:7" ht="32.25" customHeight="1" outlineLevel="1" x14ac:dyDescent="0.25">
      <c r="A574" s="28" t="s">
        <v>91</v>
      </c>
      <c r="B574" s="22">
        <v>2929181</v>
      </c>
      <c r="C574" s="22">
        <v>732294</v>
      </c>
      <c r="D574" s="38"/>
      <c r="E574" s="38"/>
      <c r="F574" s="23">
        <f t="shared" ref="F574:F597" si="61">D574/C574</f>
        <v>0</v>
      </c>
      <c r="G574" s="23">
        <f t="shared" ref="G574:G597" si="62">D574/B574</f>
        <v>0</v>
      </c>
    </row>
    <row r="575" spans="1:7" s="78" customFormat="1" ht="42.75" customHeight="1" outlineLevel="2" x14ac:dyDescent="0.25">
      <c r="A575" s="8" t="s">
        <v>54</v>
      </c>
      <c r="B575" s="9">
        <v>2929181</v>
      </c>
      <c r="C575" s="9">
        <v>732294</v>
      </c>
      <c r="D575" s="80"/>
      <c r="E575" s="80"/>
      <c r="F575" s="16">
        <f t="shared" si="61"/>
        <v>0</v>
      </c>
      <c r="G575" s="16">
        <f t="shared" si="62"/>
        <v>0</v>
      </c>
    </row>
    <row r="576" spans="1:7" ht="30" customHeight="1" outlineLevel="3" x14ac:dyDescent="0.25">
      <c r="A576" s="10" t="s">
        <v>37</v>
      </c>
      <c r="B576" s="11">
        <v>2929181</v>
      </c>
      <c r="C576" s="11">
        <v>732294</v>
      </c>
      <c r="D576" s="12"/>
      <c r="E576" s="12"/>
      <c r="F576" s="14">
        <f t="shared" si="61"/>
        <v>0</v>
      </c>
      <c r="G576" s="14">
        <f t="shared" si="62"/>
        <v>0</v>
      </c>
    </row>
    <row r="577" spans="1:7" ht="52.5" customHeight="1" outlineLevel="1" x14ac:dyDescent="0.25">
      <c r="A577" s="28" t="s">
        <v>117</v>
      </c>
      <c r="B577" s="22">
        <v>85684157</v>
      </c>
      <c r="C577" s="22">
        <v>85684157</v>
      </c>
      <c r="D577" s="38"/>
      <c r="E577" s="38"/>
      <c r="F577" s="23">
        <f t="shared" si="61"/>
        <v>0</v>
      </c>
      <c r="G577" s="23">
        <f t="shared" si="62"/>
        <v>0</v>
      </c>
    </row>
    <row r="578" spans="1:7" s="78" customFormat="1" ht="18" customHeight="1" outlineLevel="2" x14ac:dyDescent="0.25">
      <c r="A578" s="8" t="s">
        <v>94</v>
      </c>
      <c r="B578" s="9">
        <v>3500000</v>
      </c>
      <c r="C578" s="9">
        <v>3500000</v>
      </c>
      <c r="D578" s="80"/>
      <c r="E578" s="80"/>
      <c r="F578" s="16">
        <f t="shared" si="61"/>
        <v>0</v>
      </c>
      <c r="G578" s="16">
        <f t="shared" si="62"/>
        <v>0</v>
      </c>
    </row>
    <row r="579" spans="1:7" ht="28.5" customHeight="1" outlineLevel="3" x14ac:dyDescent="0.25">
      <c r="A579" s="10" t="s">
        <v>59</v>
      </c>
      <c r="B579" s="11">
        <v>3500000</v>
      </c>
      <c r="C579" s="11">
        <v>3500000</v>
      </c>
      <c r="D579" s="12"/>
      <c r="E579" s="12"/>
      <c r="F579" s="14">
        <f t="shared" si="61"/>
        <v>0</v>
      </c>
      <c r="G579" s="14">
        <f t="shared" si="62"/>
        <v>0</v>
      </c>
    </row>
    <row r="580" spans="1:7" s="78" customFormat="1" ht="26.25" customHeight="1" outlineLevel="2" x14ac:dyDescent="0.25">
      <c r="A580" s="8" t="s">
        <v>118</v>
      </c>
      <c r="B580" s="9">
        <v>165157</v>
      </c>
      <c r="C580" s="9">
        <v>165157</v>
      </c>
      <c r="D580" s="80"/>
      <c r="E580" s="80"/>
      <c r="F580" s="16">
        <f t="shared" si="61"/>
        <v>0</v>
      </c>
      <c r="G580" s="16">
        <f t="shared" si="62"/>
        <v>0</v>
      </c>
    </row>
    <row r="581" spans="1:7" ht="25.5" customHeight="1" outlineLevel="3" x14ac:dyDescent="0.25">
      <c r="A581" s="10" t="s">
        <v>59</v>
      </c>
      <c r="B581" s="11">
        <v>165157</v>
      </c>
      <c r="C581" s="11">
        <v>165157</v>
      </c>
      <c r="D581" s="12"/>
      <c r="E581" s="12"/>
      <c r="F581" s="14">
        <f t="shared" si="61"/>
        <v>0</v>
      </c>
      <c r="G581" s="14">
        <f t="shared" si="62"/>
        <v>0</v>
      </c>
    </row>
    <row r="582" spans="1:7" s="78" customFormat="1" ht="24" customHeight="1" outlineLevel="2" x14ac:dyDescent="0.25">
      <c r="A582" s="8" t="s">
        <v>92</v>
      </c>
      <c r="B582" s="9">
        <v>22200000</v>
      </c>
      <c r="C582" s="9">
        <v>22200000</v>
      </c>
      <c r="D582" s="80"/>
      <c r="E582" s="80"/>
      <c r="F582" s="16">
        <f t="shared" si="61"/>
        <v>0</v>
      </c>
      <c r="G582" s="16">
        <f t="shared" si="62"/>
        <v>0</v>
      </c>
    </row>
    <row r="583" spans="1:7" ht="16.5" customHeight="1" outlineLevel="3" x14ac:dyDescent="0.25">
      <c r="A583" s="10" t="s">
        <v>126</v>
      </c>
      <c r="B583" s="11">
        <v>7000000</v>
      </c>
      <c r="C583" s="11">
        <v>7000000</v>
      </c>
      <c r="D583" s="12"/>
      <c r="E583" s="12"/>
      <c r="F583" s="14">
        <f t="shared" si="61"/>
        <v>0</v>
      </c>
      <c r="G583" s="14">
        <f t="shared" si="62"/>
        <v>0</v>
      </c>
    </row>
    <row r="584" spans="1:7" ht="25.5" customHeight="1" outlineLevel="3" x14ac:dyDescent="0.25">
      <c r="A584" s="10" t="s">
        <v>59</v>
      </c>
      <c r="B584" s="11">
        <v>15200000</v>
      </c>
      <c r="C584" s="11">
        <v>15200000</v>
      </c>
      <c r="D584" s="12"/>
      <c r="E584" s="12"/>
      <c r="F584" s="14">
        <f t="shared" si="61"/>
        <v>0</v>
      </c>
      <c r="G584" s="14">
        <f t="shared" si="62"/>
        <v>0</v>
      </c>
    </row>
    <row r="585" spans="1:7" s="78" customFormat="1" ht="27.75" customHeight="1" outlineLevel="2" x14ac:dyDescent="0.25">
      <c r="A585" s="8" t="s">
        <v>127</v>
      </c>
      <c r="B585" s="9">
        <v>1000000</v>
      </c>
      <c r="C585" s="9">
        <v>1000000</v>
      </c>
      <c r="D585" s="80"/>
      <c r="E585" s="80"/>
      <c r="F585" s="16">
        <f t="shared" si="61"/>
        <v>0</v>
      </c>
      <c r="G585" s="16">
        <f t="shared" si="62"/>
        <v>0</v>
      </c>
    </row>
    <row r="586" spans="1:7" ht="29.25" customHeight="1" outlineLevel="3" x14ac:dyDescent="0.25">
      <c r="A586" s="10" t="s">
        <v>59</v>
      </c>
      <c r="B586" s="11">
        <v>1000000</v>
      </c>
      <c r="C586" s="11">
        <v>1000000</v>
      </c>
      <c r="D586" s="12"/>
      <c r="E586" s="12"/>
      <c r="F586" s="14">
        <f t="shared" si="61"/>
        <v>0</v>
      </c>
      <c r="G586" s="14">
        <f t="shared" si="62"/>
        <v>0</v>
      </c>
    </row>
    <row r="587" spans="1:7" s="78" customFormat="1" ht="35.25" customHeight="1" outlineLevel="2" x14ac:dyDescent="0.25">
      <c r="A587" s="8" t="s">
        <v>54</v>
      </c>
      <c r="B587" s="9">
        <v>12819000</v>
      </c>
      <c r="C587" s="9">
        <v>12819000</v>
      </c>
      <c r="D587" s="80"/>
      <c r="E587" s="80"/>
      <c r="F587" s="16">
        <f t="shared" si="61"/>
        <v>0</v>
      </c>
      <c r="G587" s="16">
        <f t="shared" si="62"/>
        <v>0</v>
      </c>
    </row>
    <row r="588" spans="1:7" ht="25.5" customHeight="1" outlineLevel="3" x14ac:dyDescent="0.25">
      <c r="A588" s="10" t="s">
        <v>59</v>
      </c>
      <c r="B588" s="11">
        <v>12819000</v>
      </c>
      <c r="C588" s="11">
        <v>12819000</v>
      </c>
      <c r="D588" s="12"/>
      <c r="E588" s="12"/>
      <c r="F588" s="14">
        <f t="shared" si="61"/>
        <v>0</v>
      </c>
      <c r="G588" s="14">
        <f t="shared" si="62"/>
        <v>0</v>
      </c>
    </row>
    <row r="589" spans="1:7" s="78" customFormat="1" ht="15" customHeight="1" outlineLevel="2" x14ac:dyDescent="0.25">
      <c r="A589" s="8" t="s">
        <v>128</v>
      </c>
      <c r="B589" s="9">
        <v>1000000</v>
      </c>
      <c r="C589" s="9">
        <v>1000000</v>
      </c>
      <c r="D589" s="80"/>
      <c r="E589" s="80"/>
      <c r="F589" s="16">
        <f t="shared" si="61"/>
        <v>0</v>
      </c>
      <c r="G589" s="16">
        <f t="shared" si="62"/>
        <v>0</v>
      </c>
    </row>
    <row r="590" spans="1:7" ht="25.5" customHeight="1" outlineLevel="3" x14ac:dyDescent="0.25">
      <c r="A590" s="10" t="s">
        <v>59</v>
      </c>
      <c r="B590" s="11">
        <v>1000000</v>
      </c>
      <c r="C590" s="11">
        <v>1000000</v>
      </c>
      <c r="D590" s="12"/>
      <c r="E590" s="12"/>
      <c r="F590" s="14">
        <f t="shared" si="61"/>
        <v>0</v>
      </c>
      <c r="G590" s="14">
        <f t="shared" si="62"/>
        <v>0</v>
      </c>
    </row>
    <row r="591" spans="1:7" s="78" customFormat="1" ht="25.5" customHeight="1" outlineLevel="2" x14ac:dyDescent="0.25">
      <c r="A591" s="8" t="s">
        <v>129</v>
      </c>
      <c r="B591" s="9">
        <v>12000000</v>
      </c>
      <c r="C591" s="9">
        <v>12000000</v>
      </c>
      <c r="D591" s="80"/>
      <c r="E591" s="80"/>
      <c r="F591" s="16">
        <f t="shared" si="61"/>
        <v>0</v>
      </c>
      <c r="G591" s="16">
        <f t="shared" si="62"/>
        <v>0</v>
      </c>
    </row>
    <row r="592" spans="1:7" ht="25.5" customHeight="1" outlineLevel="3" x14ac:dyDescent="0.25">
      <c r="A592" s="10" t="s">
        <v>59</v>
      </c>
      <c r="B592" s="11">
        <v>12000000</v>
      </c>
      <c r="C592" s="11">
        <v>12000000</v>
      </c>
      <c r="D592" s="12"/>
      <c r="E592" s="12"/>
      <c r="F592" s="14">
        <f t="shared" si="61"/>
        <v>0</v>
      </c>
      <c r="G592" s="14">
        <f t="shared" si="62"/>
        <v>0</v>
      </c>
    </row>
    <row r="593" spans="1:7" s="78" customFormat="1" ht="25.5" customHeight="1" outlineLevel="2" x14ac:dyDescent="0.25">
      <c r="A593" s="8" t="s">
        <v>130</v>
      </c>
      <c r="B593" s="9">
        <v>28000000</v>
      </c>
      <c r="C593" s="9">
        <v>28000000</v>
      </c>
      <c r="D593" s="80"/>
      <c r="E593" s="80"/>
      <c r="F593" s="16">
        <f t="shared" si="61"/>
        <v>0</v>
      </c>
      <c r="G593" s="16">
        <f t="shared" si="62"/>
        <v>0</v>
      </c>
    </row>
    <row r="594" spans="1:7" ht="25.5" customHeight="1" outlineLevel="3" x14ac:dyDescent="0.25">
      <c r="A594" s="10" t="s">
        <v>59</v>
      </c>
      <c r="B594" s="11">
        <v>28000000</v>
      </c>
      <c r="C594" s="11">
        <v>28000000</v>
      </c>
      <c r="D594" s="12"/>
      <c r="E594" s="12"/>
      <c r="F594" s="14">
        <f t="shared" si="61"/>
        <v>0</v>
      </c>
      <c r="G594" s="14">
        <f t="shared" si="62"/>
        <v>0</v>
      </c>
    </row>
    <row r="595" spans="1:7" s="78" customFormat="1" ht="25.5" customHeight="1" outlineLevel="2" x14ac:dyDescent="0.25">
      <c r="A595" s="8" t="s">
        <v>131</v>
      </c>
      <c r="B595" s="9">
        <v>5000000</v>
      </c>
      <c r="C595" s="9">
        <v>5000000</v>
      </c>
      <c r="D595" s="80"/>
      <c r="E595" s="80"/>
      <c r="F595" s="16">
        <f t="shared" si="61"/>
        <v>0</v>
      </c>
      <c r="G595" s="16">
        <f t="shared" si="62"/>
        <v>0</v>
      </c>
    </row>
    <row r="596" spans="1:7" ht="25.5" customHeight="1" outlineLevel="3" x14ac:dyDescent="0.25">
      <c r="A596" s="10" t="s">
        <v>59</v>
      </c>
      <c r="B596" s="11">
        <v>5000000</v>
      </c>
      <c r="C596" s="11">
        <v>5000000</v>
      </c>
      <c r="D596" s="12"/>
      <c r="E596" s="12"/>
      <c r="F596" s="14">
        <f t="shared" si="61"/>
        <v>0</v>
      </c>
      <c r="G596" s="14">
        <f t="shared" si="62"/>
        <v>0</v>
      </c>
    </row>
    <row r="597" spans="1:7" ht="18.75" customHeight="1" x14ac:dyDescent="0.25">
      <c r="A597" s="82" t="s">
        <v>55</v>
      </c>
      <c r="B597" s="76">
        <v>389783116</v>
      </c>
      <c r="C597" s="76">
        <v>69284175</v>
      </c>
      <c r="D597" s="81"/>
      <c r="E597" s="81"/>
      <c r="F597" s="77">
        <f t="shared" si="61"/>
        <v>0</v>
      </c>
      <c r="G597" s="77">
        <f t="shared" si="62"/>
        <v>0</v>
      </c>
    </row>
    <row r="598" spans="1:7" s="27" customFormat="1" ht="21" customHeight="1" outlineLevel="3" x14ac:dyDescent="0.2">
      <c r="A598" s="24" t="s">
        <v>27</v>
      </c>
      <c r="B598" s="25">
        <f>B599</f>
        <v>201600000</v>
      </c>
      <c r="C598" s="25">
        <f t="shared" ref="C598:E598" si="63">C599</f>
        <v>40000000</v>
      </c>
      <c r="D598" s="25">
        <f t="shared" si="63"/>
        <v>0</v>
      </c>
      <c r="E598" s="25">
        <f t="shared" si="63"/>
        <v>0</v>
      </c>
      <c r="F598" s="26">
        <v>0</v>
      </c>
      <c r="G598" s="26">
        <f t="shared" ref="G598" si="64">D598/B598</f>
        <v>0</v>
      </c>
    </row>
    <row r="599" spans="1:7" ht="43.5" customHeight="1" outlineLevel="1" x14ac:dyDescent="0.25">
      <c r="A599" s="28" t="s">
        <v>99</v>
      </c>
      <c r="B599" s="22">
        <v>201600000</v>
      </c>
      <c r="C599" s="22">
        <v>40000000</v>
      </c>
      <c r="D599" s="38"/>
      <c r="E599" s="38"/>
      <c r="F599" s="23">
        <f>D599/C599</f>
        <v>0</v>
      </c>
      <c r="G599" s="23">
        <f t="shared" ref="G599:G604" si="65">D599/B599</f>
        <v>0</v>
      </c>
    </row>
    <row r="600" spans="1:7" s="78" customFormat="1" ht="22.5" customHeight="1" outlineLevel="2" x14ac:dyDescent="0.25">
      <c r="A600" s="8" t="s">
        <v>23</v>
      </c>
      <c r="B600" s="9">
        <v>200600000</v>
      </c>
      <c r="C600" s="9">
        <v>40000000</v>
      </c>
      <c r="D600" s="80"/>
      <c r="E600" s="80"/>
      <c r="F600" s="16">
        <f>D600/C600</f>
        <v>0</v>
      </c>
      <c r="G600" s="16">
        <f t="shared" si="65"/>
        <v>0</v>
      </c>
    </row>
    <row r="601" spans="1:7" ht="21" customHeight="1" outlineLevel="3" x14ac:dyDescent="0.25">
      <c r="A601" s="10" t="s">
        <v>58</v>
      </c>
      <c r="B601" s="11">
        <v>70000000</v>
      </c>
      <c r="C601" s="11">
        <v>40000000</v>
      </c>
      <c r="D601" s="12"/>
      <c r="E601" s="12"/>
      <c r="F601" s="14">
        <f>D601/C601</f>
        <v>0</v>
      </c>
      <c r="G601" s="14">
        <f t="shared" si="65"/>
        <v>0</v>
      </c>
    </row>
    <row r="602" spans="1:7" ht="15" customHeight="1" outlineLevel="3" x14ac:dyDescent="0.25">
      <c r="A602" s="10" t="s">
        <v>57</v>
      </c>
      <c r="B602" s="11">
        <v>130600000</v>
      </c>
      <c r="C602" s="12"/>
      <c r="D602" s="12"/>
      <c r="E602" s="12"/>
      <c r="F602" s="14">
        <v>0</v>
      </c>
      <c r="G602" s="14">
        <f t="shared" si="65"/>
        <v>0</v>
      </c>
    </row>
    <row r="603" spans="1:7" s="78" customFormat="1" ht="27" customHeight="1" outlineLevel="2" x14ac:dyDescent="0.25">
      <c r="A603" s="8" t="s">
        <v>25</v>
      </c>
      <c r="B603" s="9">
        <v>1000000</v>
      </c>
      <c r="C603" s="80"/>
      <c r="D603" s="80"/>
      <c r="E603" s="80"/>
      <c r="F603" s="16">
        <v>0</v>
      </c>
      <c r="G603" s="16">
        <f t="shared" si="65"/>
        <v>0</v>
      </c>
    </row>
    <row r="604" spans="1:7" ht="16.5" customHeight="1" outlineLevel="3" x14ac:dyDescent="0.25">
      <c r="A604" s="10" t="s">
        <v>57</v>
      </c>
      <c r="B604" s="11">
        <v>1000000</v>
      </c>
      <c r="C604" s="12"/>
      <c r="D604" s="12"/>
      <c r="E604" s="12"/>
      <c r="F604" s="14">
        <v>0</v>
      </c>
      <c r="G604" s="14">
        <f t="shared" si="65"/>
        <v>0</v>
      </c>
    </row>
    <row r="605" spans="1:7" s="27" customFormat="1" ht="17.25" customHeight="1" outlineLevel="3" x14ac:dyDescent="0.2">
      <c r="A605" s="24" t="s">
        <v>43</v>
      </c>
      <c r="B605" s="25">
        <f>B606</f>
        <v>1000000</v>
      </c>
      <c r="C605" s="25">
        <f t="shared" ref="C605:E605" si="66">C606</f>
        <v>0</v>
      </c>
      <c r="D605" s="25">
        <f t="shared" si="66"/>
        <v>0</v>
      </c>
      <c r="E605" s="25">
        <f t="shared" si="66"/>
        <v>0</v>
      </c>
      <c r="F605" s="26">
        <v>0</v>
      </c>
      <c r="G605" s="26">
        <f t="shared" ref="G605" si="67">D605/B605</f>
        <v>0</v>
      </c>
    </row>
    <row r="606" spans="1:7" ht="50.25" customHeight="1" outlineLevel="1" x14ac:dyDescent="0.25">
      <c r="A606" s="28" t="s">
        <v>100</v>
      </c>
      <c r="B606" s="22">
        <v>1000000</v>
      </c>
      <c r="C606" s="38"/>
      <c r="D606" s="38"/>
      <c r="E606" s="38"/>
      <c r="F606" s="23">
        <v>0</v>
      </c>
      <c r="G606" s="23">
        <f>D606/B606</f>
        <v>0</v>
      </c>
    </row>
    <row r="607" spans="1:7" s="78" customFormat="1" ht="27" customHeight="1" outlineLevel="2" x14ac:dyDescent="0.25">
      <c r="A607" s="8" t="s">
        <v>24</v>
      </c>
      <c r="B607" s="9">
        <v>1000000</v>
      </c>
      <c r="C607" s="80"/>
      <c r="D607" s="80"/>
      <c r="E607" s="80"/>
      <c r="F607" s="16">
        <v>0</v>
      </c>
      <c r="G607" s="16">
        <f>D607/B607</f>
        <v>0</v>
      </c>
    </row>
    <row r="608" spans="1:7" ht="17.25" customHeight="1" outlineLevel="3" x14ac:dyDescent="0.25">
      <c r="A608" s="10" t="s">
        <v>58</v>
      </c>
      <c r="B608" s="11">
        <v>1000000</v>
      </c>
      <c r="C608" s="12"/>
      <c r="D608" s="12"/>
      <c r="E608" s="12"/>
      <c r="F608" s="14">
        <v>0</v>
      </c>
      <c r="G608" s="14">
        <f>D608/B608</f>
        <v>0</v>
      </c>
    </row>
    <row r="609" spans="1:7" ht="18" customHeight="1" outlineLevel="3" x14ac:dyDescent="0.25">
      <c r="A609" s="24" t="s">
        <v>48</v>
      </c>
      <c r="B609" s="25">
        <f>B610</f>
        <v>3500000</v>
      </c>
      <c r="C609" s="25">
        <f t="shared" ref="C609:E609" si="68">C610</f>
        <v>0</v>
      </c>
      <c r="D609" s="25">
        <f t="shared" si="68"/>
        <v>0</v>
      </c>
      <c r="E609" s="25">
        <f t="shared" si="68"/>
        <v>0</v>
      </c>
      <c r="F609" s="26">
        <v>0</v>
      </c>
      <c r="G609" s="26">
        <f t="shared" ref="G609" si="69">D609/B609</f>
        <v>0</v>
      </c>
    </row>
    <row r="610" spans="1:7" ht="42" customHeight="1" outlineLevel="1" x14ac:dyDescent="0.25">
      <c r="A610" s="28" t="s">
        <v>101</v>
      </c>
      <c r="B610" s="22">
        <v>3500000</v>
      </c>
      <c r="C610" s="38"/>
      <c r="D610" s="38"/>
      <c r="E610" s="38"/>
      <c r="F610" s="23">
        <v>0</v>
      </c>
      <c r="G610" s="23">
        <f>D610/B610</f>
        <v>0</v>
      </c>
    </row>
    <row r="611" spans="1:7" s="78" customFormat="1" ht="26.25" customHeight="1" outlineLevel="2" x14ac:dyDescent="0.25">
      <c r="A611" s="8" t="s">
        <v>25</v>
      </c>
      <c r="B611" s="9">
        <v>3500000</v>
      </c>
      <c r="C611" s="80"/>
      <c r="D611" s="80"/>
      <c r="E611" s="80"/>
      <c r="F611" s="16">
        <v>0</v>
      </c>
      <c r="G611" s="16">
        <f>D611/B611</f>
        <v>0</v>
      </c>
    </row>
    <row r="612" spans="1:7" ht="15" customHeight="1" outlineLevel="3" x14ac:dyDescent="0.25">
      <c r="A612" s="10" t="s">
        <v>57</v>
      </c>
      <c r="B612" s="11">
        <v>3500000</v>
      </c>
      <c r="C612" s="12"/>
      <c r="D612" s="12"/>
      <c r="E612" s="12"/>
      <c r="F612" s="14">
        <v>0</v>
      </c>
      <c r="G612" s="14">
        <f>D612/B612</f>
        <v>0</v>
      </c>
    </row>
    <row r="613" spans="1:7" ht="19.5" customHeight="1" outlineLevel="3" x14ac:dyDescent="0.25">
      <c r="A613" s="24" t="s">
        <v>49</v>
      </c>
      <c r="B613" s="25">
        <f>B614</f>
        <v>41000000</v>
      </c>
      <c r="C613" s="25">
        <f t="shared" ref="C613:E613" si="70">C614</f>
        <v>0</v>
      </c>
      <c r="D613" s="25">
        <f t="shared" si="70"/>
        <v>0</v>
      </c>
      <c r="E613" s="25">
        <f t="shared" si="70"/>
        <v>0</v>
      </c>
      <c r="F613" s="39">
        <v>0</v>
      </c>
      <c r="G613" s="39">
        <f t="shared" ref="G613" si="71">D613/B613</f>
        <v>0</v>
      </c>
    </row>
    <row r="614" spans="1:7" ht="39.75" customHeight="1" outlineLevel="1" x14ac:dyDescent="0.25">
      <c r="A614" s="28" t="s">
        <v>102</v>
      </c>
      <c r="B614" s="22">
        <v>41000000</v>
      </c>
      <c r="C614" s="38"/>
      <c r="D614" s="38"/>
      <c r="E614" s="38"/>
      <c r="F614" s="23">
        <v>0</v>
      </c>
      <c r="G614" s="23">
        <f>D614/B614</f>
        <v>0</v>
      </c>
    </row>
    <row r="615" spans="1:7" s="78" customFormat="1" ht="15" customHeight="1" outlineLevel="2" x14ac:dyDescent="0.25">
      <c r="A615" s="8" t="s">
        <v>50</v>
      </c>
      <c r="B615" s="9">
        <v>40000000</v>
      </c>
      <c r="C615" s="80"/>
      <c r="D615" s="80"/>
      <c r="E615" s="80"/>
      <c r="F615" s="16">
        <v>0</v>
      </c>
      <c r="G615" s="16">
        <f>D615/B615</f>
        <v>0</v>
      </c>
    </row>
    <row r="616" spans="1:7" ht="18.75" customHeight="1" outlineLevel="3" x14ac:dyDescent="0.25">
      <c r="A616" s="10" t="s">
        <v>57</v>
      </c>
      <c r="B616" s="11">
        <v>40000000</v>
      </c>
      <c r="C616" s="12"/>
      <c r="D616" s="12"/>
      <c r="E616" s="12"/>
      <c r="F616" s="14">
        <v>0</v>
      </c>
      <c r="G616" s="14">
        <f>D616/B616</f>
        <v>0</v>
      </c>
    </row>
    <row r="617" spans="1:7" ht="17.25" customHeight="1" outlineLevel="2" x14ac:dyDescent="0.25">
      <c r="A617" s="5" t="s">
        <v>51</v>
      </c>
      <c r="B617" s="6">
        <v>1000000</v>
      </c>
      <c r="C617" s="15"/>
      <c r="D617" s="15"/>
      <c r="E617" s="15"/>
      <c r="F617" s="7">
        <v>0</v>
      </c>
      <c r="G617" s="7">
        <f>D617/B617</f>
        <v>0</v>
      </c>
    </row>
    <row r="618" spans="1:7" ht="21" customHeight="1" outlineLevel="3" x14ac:dyDescent="0.25">
      <c r="A618" s="10" t="s">
        <v>57</v>
      </c>
      <c r="B618" s="11">
        <v>1000000</v>
      </c>
      <c r="C618" s="12"/>
      <c r="D618" s="12"/>
      <c r="E618" s="12"/>
      <c r="F618" s="14">
        <v>0</v>
      </c>
      <c r="G618" s="14">
        <f>D618/B618</f>
        <v>0</v>
      </c>
    </row>
    <row r="619" spans="1:7" ht="16.5" customHeight="1" outlineLevel="3" x14ac:dyDescent="0.25">
      <c r="A619" s="24" t="s">
        <v>53</v>
      </c>
      <c r="B619" s="25">
        <f>B620+B635+B636</f>
        <v>124393316</v>
      </c>
      <c r="C619" s="25">
        <f>C620+C635+C636</f>
        <v>9284175</v>
      </c>
      <c r="D619" s="25">
        <f>D620+D635+D636</f>
        <v>0</v>
      </c>
      <c r="E619" s="25">
        <f>E620+E635+E636</f>
        <v>0</v>
      </c>
      <c r="F619" s="26">
        <f t="shared" ref="F619" si="72">D619/C619</f>
        <v>0</v>
      </c>
      <c r="G619" s="26">
        <f t="shared" ref="G619" si="73">D619/B619</f>
        <v>0</v>
      </c>
    </row>
    <row r="620" spans="1:7" ht="38.25" customHeight="1" outlineLevel="1" x14ac:dyDescent="0.25">
      <c r="A620" s="28" t="s">
        <v>119</v>
      </c>
      <c r="B620" s="22">
        <v>104114763</v>
      </c>
      <c r="C620" s="38"/>
      <c r="D620" s="38"/>
      <c r="E620" s="38"/>
      <c r="F620" s="23">
        <v>0</v>
      </c>
      <c r="G620" s="23">
        <f t="shared" ref="G620:G642" si="74">D620/B620</f>
        <v>0</v>
      </c>
    </row>
    <row r="621" spans="1:7" s="78" customFormat="1" ht="14.25" customHeight="1" outlineLevel="2" x14ac:dyDescent="0.25">
      <c r="A621" s="8" t="s">
        <v>120</v>
      </c>
      <c r="B621" s="9">
        <v>699990</v>
      </c>
      <c r="C621" s="80"/>
      <c r="D621" s="80"/>
      <c r="E621" s="80"/>
      <c r="F621" s="16">
        <v>0</v>
      </c>
      <c r="G621" s="16">
        <f t="shared" si="74"/>
        <v>0</v>
      </c>
    </row>
    <row r="622" spans="1:7" ht="27.75" customHeight="1" outlineLevel="3" x14ac:dyDescent="0.25">
      <c r="A622" s="10" t="s">
        <v>59</v>
      </c>
      <c r="B622" s="11">
        <v>699990</v>
      </c>
      <c r="C622" s="12"/>
      <c r="D622" s="12"/>
      <c r="E622" s="12"/>
      <c r="F622" s="14">
        <v>0</v>
      </c>
      <c r="G622" s="14">
        <f t="shared" si="74"/>
        <v>0</v>
      </c>
    </row>
    <row r="623" spans="1:7" s="78" customFormat="1" ht="27.75" customHeight="1" outlineLevel="2" x14ac:dyDescent="0.25">
      <c r="A623" s="8" t="s">
        <v>104</v>
      </c>
      <c r="B623" s="9">
        <v>1241802</v>
      </c>
      <c r="C623" s="80"/>
      <c r="D623" s="80"/>
      <c r="E623" s="80"/>
      <c r="F623" s="16">
        <v>0</v>
      </c>
      <c r="G623" s="16">
        <f t="shared" si="74"/>
        <v>0</v>
      </c>
    </row>
    <row r="624" spans="1:7" ht="27.75" customHeight="1" outlineLevel="3" x14ac:dyDescent="0.25">
      <c r="A624" s="10" t="s">
        <v>59</v>
      </c>
      <c r="B624" s="11">
        <v>1241802</v>
      </c>
      <c r="C624" s="12"/>
      <c r="D624" s="12"/>
      <c r="E624" s="12"/>
      <c r="F624" s="14">
        <v>0</v>
      </c>
      <c r="G624" s="14">
        <f t="shared" si="74"/>
        <v>0</v>
      </c>
    </row>
    <row r="625" spans="1:7" s="78" customFormat="1" ht="27.75" customHeight="1" outlineLevel="2" x14ac:dyDescent="0.25">
      <c r="A625" s="8" t="s">
        <v>61</v>
      </c>
      <c r="B625" s="9">
        <v>999990</v>
      </c>
      <c r="C625" s="80"/>
      <c r="D625" s="80"/>
      <c r="E625" s="80"/>
      <c r="F625" s="16">
        <v>0</v>
      </c>
      <c r="G625" s="16">
        <f t="shared" si="74"/>
        <v>0</v>
      </c>
    </row>
    <row r="626" spans="1:7" ht="27.75" customHeight="1" outlineLevel="3" x14ac:dyDescent="0.25">
      <c r="A626" s="10" t="s">
        <v>59</v>
      </c>
      <c r="B626" s="11">
        <v>999990</v>
      </c>
      <c r="C626" s="12"/>
      <c r="D626" s="12"/>
      <c r="E626" s="12"/>
      <c r="F626" s="14">
        <v>0</v>
      </c>
      <c r="G626" s="14">
        <f t="shared" si="74"/>
        <v>0</v>
      </c>
    </row>
    <row r="627" spans="1:7" s="78" customFormat="1" ht="27.75" customHeight="1" outlineLevel="2" x14ac:dyDescent="0.25">
      <c r="A627" s="8" t="s">
        <v>60</v>
      </c>
      <c r="B627" s="9">
        <v>598380</v>
      </c>
      <c r="C627" s="80"/>
      <c r="D627" s="80"/>
      <c r="E627" s="80"/>
      <c r="F627" s="16">
        <v>0</v>
      </c>
      <c r="G627" s="16">
        <f t="shared" si="74"/>
        <v>0</v>
      </c>
    </row>
    <row r="628" spans="1:7" ht="27.75" customHeight="1" outlineLevel="3" x14ac:dyDescent="0.25">
      <c r="A628" s="10" t="s">
        <v>59</v>
      </c>
      <c r="B628" s="11">
        <v>598380</v>
      </c>
      <c r="C628" s="12"/>
      <c r="D628" s="12"/>
      <c r="E628" s="12"/>
      <c r="F628" s="14">
        <v>0</v>
      </c>
      <c r="G628" s="14">
        <f t="shared" si="74"/>
        <v>0</v>
      </c>
    </row>
    <row r="629" spans="1:7" s="78" customFormat="1" ht="14.25" customHeight="1" outlineLevel="2" x14ac:dyDescent="0.25">
      <c r="A629" s="8" t="s">
        <v>105</v>
      </c>
      <c r="B629" s="9">
        <v>699986</v>
      </c>
      <c r="C629" s="80"/>
      <c r="D629" s="80"/>
      <c r="E629" s="80"/>
      <c r="F629" s="16">
        <v>0</v>
      </c>
      <c r="G629" s="16">
        <f t="shared" si="74"/>
        <v>0</v>
      </c>
    </row>
    <row r="630" spans="1:7" ht="27.75" customHeight="1" outlineLevel="3" x14ac:dyDescent="0.25">
      <c r="A630" s="10" t="s">
        <v>59</v>
      </c>
      <c r="B630" s="11">
        <v>699986</v>
      </c>
      <c r="C630" s="12"/>
      <c r="D630" s="12"/>
      <c r="E630" s="12"/>
      <c r="F630" s="14">
        <v>0</v>
      </c>
      <c r="G630" s="14">
        <f t="shared" si="74"/>
        <v>0</v>
      </c>
    </row>
    <row r="631" spans="1:7" s="78" customFormat="1" ht="24" customHeight="1" outlineLevel="2" x14ac:dyDescent="0.25">
      <c r="A631" s="8" t="s">
        <v>92</v>
      </c>
      <c r="B631" s="9">
        <v>1250000</v>
      </c>
      <c r="C631" s="80"/>
      <c r="D631" s="80"/>
      <c r="E631" s="80"/>
      <c r="F631" s="16">
        <v>0</v>
      </c>
      <c r="G631" s="16">
        <f t="shared" si="74"/>
        <v>0</v>
      </c>
    </row>
    <row r="632" spans="1:7" ht="30" customHeight="1" outlineLevel="3" x14ac:dyDescent="0.25">
      <c r="A632" s="10" t="s">
        <v>59</v>
      </c>
      <c r="B632" s="11">
        <v>1250000</v>
      </c>
      <c r="C632" s="12"/>
      <c r="D632" s="12"/>
      <c r="E632" s="12"/>
      <c r="F632" s="14">
        <v>0</v>
      </c>
      <c r="G632" s="14">
        <f t="shared" si="74"/>
        <v>0</v>
      </c>
    </row>
    <row r="633" spans="1:7" s="78" customFormat="1" ht="41.25" customHeight="1" outlineLevel="2" x14ac:dyDescent="0.25">
      <c r="A633" s="8" t="s">
        <v>54</v>
      </c>
      <c r="B633" s="9">
        <v>98624615</v>
      </c>
      <c r="C633" s="80"/>
      <c r="D633" s="80"/>
      <c r="E633" s="80"/>
      <c r="F633" s="16">
        <v>0</v>
      </c>
      <c r="G633" s="16">
        <f t="shared" si="74"/>
        <v>0</v>
      </c>
    </row>
    <row r="634" spans="1:7" ht="28.5" customHeight="1" outlineLevel="3" x14ac:dyDescent="0.25">
      <c r="A634" s="10" t="s">
        <v>59</v>
      </c>
      <c r="B634" s="11">
        <v>98624615</v>
      </c>
      <c r="C634" s="12"/>
      <c r="D634" s="12"/>
      <c r="E634" s="12"/>
      <c r="F634" s="14">
        <v>0</v>
      </c>
      <c r="G634" s="14">
        <f t="shared" si="74"/>
        <v>0</v>
      </c>
    </row>
    <row r="635" spans="1:7" ht="50.25" customHeight="1" outlineLevel="1" x14ac:dyDescent="0.25">
      <c r="A635" s="28" t="s">
        <v>103</v>
      </c>
      <c r="B635" s="22">
        <v>18568353</v>
      </c>
      <c r="C635" s="22">
        <v>9284175</v>
      </c>
      <c r="D635" s="38"/>
      <c r="E635" s="38"/>
      <c r="F635" s="23">
        <f>D635/C635</f>
        <v>0</v>
      </c>
      <c r="G635" s="23">
        <f t="shared" si="74"/>
        <v>0</v>
      </c>
    </row>
    <row r="636" spans="1:7" s="78" customFormat="1" ht="30.75" customHeight="1" outlineLevel="2" x14ac:dyDescent="0.25">
      <c r="A636" s="8" t="s">
        <v>121</v>
      </c>
      <c r="B636" s="9">
        <v>1710200</v>
      </c>
      <c r="C636" s="80"/>
      <c r="D636" s="80"/>
      <c r="E636" s="80"/>
      <c r="F636" s="16">
        <v>0</v>
      </c>
      <c r="G636" s="16">
        <f t="shared" si="74"/>
        <v>0</v>
      </c>
    </row>
    <row r="637" spans="1:7" ht="26.25" customHeight="1" outlineLevel="3" x14ac:dyDescent="0.25">
      <c r="A637" s="10" t="s">
        <v>59</v>
      </c>
      <c r="B637" s="11">
        <v>1710200</v>
      </c>
      <c r="C637" s="12"/>
      <c r="D637" s="12"/>
      <c r="E637" s="12"/>
      <c r="F637" s="14">
        <v>0</v>
      </c>
      <c r="G637" s="14">
        <f t="shared" si="74"/>
        <v>0</v>
      </c>
    </row>
    <row r="638" spans="1:7" s="78" customFormat="1" ht="37.5" customHeight="1" outlineLevel="2" x14ac:dyDescent="0.25">
      <c r="A638" s="8" t="s">
        <v>54</v>
      </c>
      <c r="B638" s="9">
        <v>16858153</v>
      </c>
      <c r="C638" s="9">
        <v>9284175</v>
      </c>
      <c r="D638" s="80"/>
      <c r="E638" s="80"/>
      <c r="F638" s="16">
        <f>D638/C638</f>
        <v>0</v>
      </c>
      <c r="G638" s="16">
        <f t="shared" si="74"/>
        <v>0</v>
      </c>
    </row>
    <row r="639" spans="1:7" ht="30" customHeight="1" outlineLevel="3" x14ac:dyDescent="0.25">
      <c r="A639" s="10" t="s">
        <v>59</v>
      </c>
      <c r="B639" s="11">
        <v>16858153</v>
      </c>
      <c r="C639" s="11">
        <v>9284175</v>
      </c>
      <c r="D639" s="12"/>
      <c r="E639" s="12"/>
      <c r="F639" s="14">
        <f>D639/C639</f>
        <v>0</v>
      </c>
      <c r="G639" s="14">
        <f t="shared" si="74"/>
        <v>0</v>
      </c>
    </row>
    <row r="640" spans="1:7" ht="12.95" customHeight="1" outlineLevel="1" x14ac:dyDescent="0.25">
      <c r="A640" s="28" t="s">
        <v>122</v>
      </c>
      <c r="B640" s="22">
        <v>20000000</v>
      </c>
      <c r="C640" s="22">
        <v>20000000</v>
      </c>
      <c r="D640" s="38"/>
      <c r="E640" s="38"/>
      <c r="F640" s="23">
        <f>D640/C640</f>
        <v>0</v>
      </c>
      <c r="G640" s="23">
        <f t="shared" si="74"/>
        <v>0</v>
      </c>
    </row>
    <row r="641" spans="1:7" s="78" customFormat="1" ht="25.5" customHeight="1" outlineLevel="2" x14ac:dyDescent="0.25">
      <c r="A641" s="8" t="s">
        <v>92</v>
      </c>
      <c r="B641" s="9">
        <v>20000000</v>
      </c>
      <c r="C641" s="9">
        <v>20000000</v>
      </c>
      <c r="D641" s="80"/>
      <c r="E641" s="80"/>
      <c r="F641" s="16">
        <f>D641/C641</f>
        <v>0</v>
      </c>
      <c r="G641" s="16">
        <f t="shared" si="74"/>
        <v>0</v>
      </c>
    </row>
    <row r="642" spans="1:7" ht="27" customHeight="1" outlineLevel="3" x14ac:dyDescent="0.25">
      <c r="A642" s="10" t="s">
        <v>59</v>
      </c>
      <c r="B642" s="11">
        <v>20000000</v>
      </c>
      <c r="C642" s="11">
        <v>20000000</v>
      </c>
      <c r="D642" s="12"/>
      <c r="E642" s="12"/>
      <c r="F642" s="14">
        <f>D642/C642</f>
        <v>0</v>
      </c>
      <c r="G642" s="14">
        <f t="shared" si="74"/>
        <v>0</v>
      </c>
    </row>
  </sheetData>
  <mergeCells count="7">
    <mergeCell ref="A1:G1"/>
    <mergeCell ref="B2:B5"/>
    <mergeCell ref="C2:C5"/>
    <mergeCell ref="D2:D5"/>
    <mergeCell ref="E2:E5"/>
    <mergeCell ref="F2:F5"/>
    <mergeCell ref="G2:G5"/>
  </mergeCells>
  <pageMargins left="0.11811023622047245" right="0.11811023622047245" top="0.15748031496062992" bottom="0.15748031496062992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B2DE2-74AB-4082-856D-A06DA1B7CA74}">
  <dimension ref="A1:I649"/>
  <sheetViews>
    <sheetView view="pageBreakPreview" zoomScale="96" zoomScaleNormal="100" zoomScaleSheetLayoutView="96" workbookViewId="0">
      <selection activeCell="A625" sqref="A625:XFD625"/>
    </sheetView>
  </sheetViews>
  <sheetFormatPr defaultRowHeight="15" outlineLevelRow="3" x14ac:dyDescent="0.25"/>
  <cols>
    <col min="1" max="1" width="57.5703125" customWidth="1"/>
    <col min="2" max="2" width="15.42578125" customWidth="1"/>
    <col min="3" max="3" width="15.28515625" customWidth="1"/>
    <col min="4" max="4" width="15" customWidth="1"/>
    <col min="5" max="5" width="15.85546875" customWidth="1"/>
    <col min="6" max="6" width="11.42578125" customWidth="1"/>
    <col min="7" max="7" width="11.5703125" customWidth="1"/>
    <col min="8" max="8" width="13" bestFit="1" customWidth="1"/>
    <col min="9" max="9" width="14.42578125" bestFit="1" customWidth="1"/>
  </cols>
  <sheetData>
    <row r="1" spans="1:9" s="73" customFormat="1" ht="24.75" customHeight="1" x14ac:dyDescent="0.25">
      <c r="A1" s="95" t="s">
        <v>133</v>
      </c>
      <c r="B1" s="95"/>
      <c r="C1" s="95"/>
      <c r="D1" s="95"/>
      <c r="E1" s="95"/>
      <c r="F1" s="95"/>
      <c r="G1" s="95"/>
    </row>
    <row r="2" spans="1:9" ht="13.5" customHeight="1" x14ac:dyDescent="0.25">
      <c r="A2" s="5" t="s">
        <v>0</v>
      </c>
      <c r="B2" s="97" t="s">
        <v>96</v>
      </c>
      <c r="C2" s="97" t="s">
        <v>1</v>
      </c>
      <c r="D2" s="97" t="s">
        <v>97</v>
      </c>
      <c r="E2" s="97" t="s">
        <v>2</v>
      </c>
      <c r="F2" s="96" t="s">
        <v>3</v>
      </c>
      <c r="G2" s="96" t="s">
        <v>4</v>
      </c>
    </row>
    <row r="3" spans="1:9" ht="13.5" customHeight="1" x14ac:dyDescent="0.25">
      <c r="A3" s="5" t="s">
        <v>62</v>
      </c>
      <c r="B3" s="97"/>
      <c r="C3" s="97"/>
      <c r="D3" s="97"/>
      <c r="E3" s="97"/>
      <c r="F3" s="96"/>
      <c r="G3" s="96"/>
    </row>
    <row r="4" spans="1:9" ht="13.5" customHeight="1" x14ac:dyDescent="0.25">
      <c r="A4" s="5" t="s">
        <v>63</v>
      </c>
      <c r="B4" s="97"/>
      <c r="C4" s="97"/>
      <c r="D4" s="97"/>
      <c r="E4" s="97"/>
      <c r="F4" s="96"/>
      <c r="G4" s="96"/>
    </row>
    <row r="5" spans="1:9" ht="12.75" customHeight="1" x14ac:dyDescent="0.25">
      <c r="A5" s="5" t="s">
        <v>5</v>
      </c>
      <c r="B5" s="97"/>
      <c r="C5" s="97"/>
      <c r="D5" s="97"/>
      <c r="E5" s="97"/>
      <c r="F5" s="96"/>
      <c r="G5" s="96"/>
    </row>
    <row r="6" spans="1:9" ht="19.5" customHeight="1" x14ac:dyDescent="0.25">
      <c r="A6" s="82" t="s">
        <v>6</v>
      </c>
      <c r="B6" s="76">
        <f>B7+B91+B436+B493+B525+B575</f>
        <v>4385562405</v>
      </c>
      <c r="C6" s="76">
        <f t="shared" ref="C6:E6" si="0">C7+C91+C436+C493+C525+C575</f>
        <v>1681975827</v>
      </c>
      <c r="D6" s="76">
        <f t="shared" si="0"/>
        <v>1445759574.26</v>
      </c>
      <c r="E6" s="76">
        <f t="shared" si="0"/>
        <v>1401334077.6700003</v>
      </c>
      <c r="F6" s="77">
        <f t="shared" ref="F6:F37" si="1">D6/C6</f>
        <v>0.85956025708091222</v>
      </c>
      <c r="G6" s="77">
        <f t="shared" ref="G6:G37" si="2">D6/B6</f>
        <v>0.32966343669210652</v>
      </c>
      <c r="H6" s="20"/>
      <c r="I6" s="20"/>
    </row>
    <row r="7" spans="1:9" ht="19.5" customHeight="1" x14ac:dyDescent="0.25">
      <c r="A7" s="24" t="s">
        <v>7</v>
      </c>
      <c r="B7" s="25">
        <f>B8</f>
        <v>199151160</v>
      </c>
      <c r="C7" s="25">
        <f t="shared" ref="C7:E7" si="3">C8</f>
        <v>72495517</v>
      </c>
      <c r="D7" s="25">
        <f t="shared" si="3"/>
        <v>65797921.43</v>
      </c>
      <c r="E7" s="25">
        <f t="shared" si="3"/>
        <v>65797921.43</v>
      </c>
      <c r="F7" s="26">
        <f t="shared" si="1"/>
        <v>0.90761365878665301</v>
      </c>
      <c r="G7" s="26">
        <f t="shared" si="2"/>
        <v>0.33039185626636569</v>
      </c>
    </row>
    <row r="8" spans="1:9" ht="26.25" customHeight="1" outlineLevel="1" x14ac:dyDescent="0.25">
      <c r="A8" s="70" t="s">
        <v>64</v>
      </c>
      <c r="B8" s="22">
        <v>199151160</v>
      </c>
      <c r="C8" s="22">
        <v>72495517</v>
      </c>
      <c r="D8" s="22">
        <v>65797921.43</v>
      </c>
      <c r="E8" s="22">
        <v>65797921.43</v>
      </c>
      <c r="F8" s="23">
        <f t="shared" si="1"/>
        <v>0.90761365878665301</v>
      </c>
      <c r="G8" s="23">
        <f t="shared" si="2"/>
        <v>0.33039185626636569</v>
      </c>
    </row>
    <row r="9" spans="1:9" s="17" customFormat="1" ht="27.75" customHeight="1" outlineLevel="2" x14ac:dyDescent="0.2">
      <c r="A9" s="83" t="s">
        <v>8</v>
      </c>
      <c r="B9" s="9">
        <v>25855642</v>
      </c>
      <c r="C9" s="9">
        <v>9169672</v>
      </c>
      <c r="D9" s="9">
        <v>7972176.7300000004</v>
      </c>
      <c r="E9" s="9">
        <v>7972176.7300000004</v>
      </c>
      <c r="F9" s="16">
        <f t="shared" si="1"/>
        <v>0.86940696788282068</v>
      </c>
      <c r="G9" s="16">
        <f t="shared" si="2"/>
        <v>0.30833412413429923</v>
      </c>
    </row>
    <row r="10" spans="1:9" ht="13.5" customHeight="1" outlineLevel="3" x14ac:dyDescent="0.25">
      <c r="A10" s="69" t="s">
        <v>9</v>
      </c>
      <c r="B10" s="11">
        <v>18992832</v>
      </c>
      <c r="C10" s="11">
        <v>6709030</v>
      </c>
      <c r="D10" s="11">
        <v>6131371.04</v>
      </c>
      <c r="E10" s="11">
        <v>6131371.04</v>
      </c>
      <c r="F10" s="14">
        <f t="shared" si="1"/>
        <v>0.91389828932051276</v>
      </c>
      <c r="G10" s="14">
        <f t="shared" si="2"/>
        <v>0.32282552912593554</v>
      </c>
    </row>
    <row r="11" spans="1:9" ht="13.5" customHeight="1" outlineLevel="3" x14ac:dyDescent="0.25">
      <c r="A11" s="69" t="s">
        <v>10</v>
      </c>
      <c r="B11" s="11">
        <v>4178423</v>
      </c>
      <c r="C11" s="11">
        <v>1474564</v>
      </c>
      <c r="D11" s="11">
        <v>1288603.67</v>
      </c>
      <c r="E11" s="11">
        <v>1288603.67</v>
      </c>
      <c r="F11" s="14">
        <f t="shared" si="1"/>
        <v>0.87388792212477717</v>
      </c>
      <c r="G11" s="14">
        <f t="shared" si="2"/>
        <v>0.30839473887636554</v>
      </c>
    </row>
    <row r="12" spans="1:9" ht="13.5" customHeight="1" outlineLevel="3" x14ac:dyDescent="0.25">
      <c r="A12" s="69" t="s">
        <v>11</v>
      </c>
      <c r="B12" s="11">
        <v>407670</v>
      </c>
      <c r="C12" s="11">
        <v>147170</v>
      </c>
      <c r="D12" s="11">
        <v>125352.72</v>
      </c>
      <c r="E12" s="11">
        <v>125352.72</v>
      </c>
      <c r="F12" s="14">
        <f t="shared" si="1"/>
        <v>0.85175456954542372</v>
      </c>
      <c r="G12" s="14">
        <f t="shared" si="2"/>
        <v>0.30748576054161453</v>
      </c>
    </row>
    <row r="13" spans="1:9" ht="13.5" customHeight="1" outlineLevel="3" x14ac:dyDescent="0.25">
      <c r="A13" s="69" t="s">
        <v>12</v>
      </c>
      <c r="B13" s="11">
        <v>1373756</v>
      </c>
      <c r="C13" s="11">
        <v>440000</v>
      </c>
      <c r="D13" s="11">
        <v>173121.57</v>
      </c>
      <c r="E13" s="11">
        <v>173121.57</v>
      </c>
      <c r="F13" s="14">
        <f t="shared" si="1"/>
        <v>0.39345811363636363</v>
      </c>
      <c r="G13" s="14">
        <f t="shared" si="2"/>
        <v>0.12602061064701447</v>
      </c>
    </row>
    <row r="14" spans="1:9" ht="13.5" customHeight="1" outlineLevel="3" x14ac:dyDescent="0.25">
      <c r="A14" s="69" t="s">
        <v>13</v>
      </c>
      <c r="B14" s="11">
        <v>394493</v>
      </c>
      <c r="C14" s="11">
        <v>137208</v>
      </c>
      <c r="D14" s="11">
        <v>42292.32</v>
      </c>
      <c r="E14" s="11">
        <v>42292.32</v>
      </c>
      <c r="F14" s="14">
        <f t="shared" si="1"/>
        <v>0.30823508833304181</v>
      </c>
      <c r="G14" s="14">
        <f t="shared" si="2"/>
        <v>0.10720676919489065</v>
      </c>
    </row>
    <row r="15" spans="1:9" ht="13.5" customHeight="1" outlineLevel="3" x14ac:dyDescent="0.25">
      <c r="A15" s="69" t="s">
        <v>14</v>
      </c>
      <c r="B15" s="11">
        <v>31644</v>
      </c>
      <c r="C15" s="11">
        <v>11100</v>
      </c>
      <c r="D15" s="11">
        <v>10981.32</v>
      </c>
      <c r="E15" s="11">
        <v>10981.32</v>
      </c>
      <c r="F15" s="14">
        <f t="shared" si="1"/>
        <v>0.9893081081081081</v>
      </c>
      <c r="G15" s="14">
        <f t="shared" si="2"/>
        <v>0.34702692453545697</v>
      </c>
    </row>
    <row r="16" spans="1:9" ht="13.5" customHeight="1" outlineLevel="3" x14ac:dyDescent="0.25">
      <c r="A16" s="69" t="s">
        <v>15</v>
      </c>
      <c r="B16" s="11">
        <v>470824</v>
      </c>
      <c r="C16" s="11">
        <v>249600</v>
      </c>
      <c r="D16" s="11">
        <v>200454.09</v>
      </c>
      <c r="E16" s="11">
        <v>200454.09</v>
      </c>
      <c r="F16" s="14">
        <f t="shared" si="1"/>
        <v>0.80310132211538465</v>
      </c>
      <c r="G16" s="14">
        <f t="shared" si="2"/>
        <v>0.42575163967852103</v>
      </c>
    </row>
    <row r="17" spans="1:7" ht="27" customHeight="1" outlineLevel="3" x14ac:dyDescent="0.25">
      <c r="A17" s="69" t="s">
        <v>16</v>
      </c>
      <c r="B17" s="11">
        <v>6000</v>
      </c>
      <c r="C17" s="11">
        <v>1000</v>
      </c>
      <c r="D17" s="12"/>
      <c r="E17" s="12"/>
      <c r="F17" s="14">
        <f t="shared" si="1"/>
        <v>0</v>
      </c>
      <c r="G17" s="14">
        <f t="shared" si="2"/>
        <v>0</v>
      </c>
    </row>
    <row r="18" spans="1:7" s="17" customFormat="1" ht="16.5" customHeight="1" outlineLevel="2" x14ac:dyDescent="0.2">
      <c r="A18" s="83" t="s">
        <v>17</v>
      </c>
      <c r="B18" s="9">
        <v>71590477</v>
      </c>
      <c r="C18" s="9">
        <v>26093020</v>
      </c>
      <c r="D18" s="9">
        <v>23062195.670000002</v>
      </c>
      <c r="E18" s="9">
        <v>23062195.670000002</v>
      </c>
      <c r="F18" s="16">
        <f t="shared" si="1"/>
        <v>0.88384539888445268</v>
      </c>
      <c r="G18" s="16">
        <f t="shared" si="2"/>
        <v>0.32214055048131612</v>
      </c>
    </row>
    <row r="19" spans="1:7" ht="13.5" customHeight="1" outlineLevel="3" x14ac:dyDescent="0.25">
      <c r="A19" s="69" t="s">
        <v>9</v>
      </c>
      <c r="B19" s="11">
        <v>52452781</v>
      </c>
      <c r="C19" s="11">
        <v>18784931</v>
      </c>
      <c r="D19" s="11">
        <v>17715322.629999999</v>
      </c>
      <c r="E19" s="11">
        <v>17715322.629999999</v>
      </c>
      <c r="F19" s="14">
        <f t="shared" si="1"/>
        <v>0.94306029817197623</v>
      </c>
      <c r="G19" s="14">
        <f t="shared" si="2"/>
        <v>0.33773848196914474</v>
      </c>
    </row>
    <row r="20" spans="1:7" ht="13.5" customHeight="1" outlineLevel="3" x14ac:dyDescent="0.25">
      <c r="A20" s="69" t="s">
        <v>10</v>
      </c>
      <c r="B20" s="11">
        <v>11539612</v>
      </c>
      <c r="C20" s="11">
        <v>4132689</v>
      </c>
      <c r="D20" s="11">
        <v>3844061.3</v>
      </c>
      <c r="E20" s="11">
        <v>3844061.3</v>
      </c>
      <c r="F20" s="14">
        <f t="shared" si="1"/>
        <v>0.9301598305606833</v>
      </c>
      <c r="G20" s="14">
        <f t="shared" si="2"/>
        <v>0.33311876517165395</v>
      </c>
    </row>
    <row r="21" spans="1:7" ht="13.5" customHeight="1" outlineLevel="3" x14ac:dyDescent="0.25">
      <c r="A21" s="69" t="s">
        <v>11</v>
      </c>
      <c r="B21" s="11">
        <v>1474400</v>
      </c>
      <c r="C21" s="11">
        <v>480000</v>
      </c>
      <c r="D21" s="11">
        <v>182301</v>
      </c>
      <c r="E21" s="11">
        <v>182301</v>
      </c>
      <c r="F21" s="14">
        <f t="shared" si="1"/>
        <v>0.37979374999999999</v>
      </c>
      <c r="G21" s="14">
        <f t="shared" si="2"/>
        <v>0.12364419424850787</v>
      </c>
    </row>
    <row r="22" spans="1:7" ht="13.5" customHeight="1" outlineLevel="3" x14ac:dyDescent="0.25">
      <c r="A22" s="69" t="s">
        <v>12</v>
      </c>
      <c r="B22" s="11">
        <v>2233970</v>
      </c>
      <c r="C22" s="11">
        <v>640000</v>
      </c>
      <c r="D22" s="11">
        <v>449365.13</v>
      </c>
      <c r="E22" s="11">
        <v>449365.13</v>
      </c>
      <c r="F22" s="14">
        <f t="shared" si="1"/>
        <v>0.70213301562499997</v>
      </c>
      <c r="G22" s="14">
        <f t="shared" si="2"/>
        <v>0.20115092413953634</v>
      </c>
    </row>
    <row r="23" spans="1:7" ht="13.5" customHeight="1" outlineLevel="3" x14ac:dyDescent="0.25">
      <c r="A23" s="69" t="s">
        <v>13</v>
      </c>
      <c r="B23" s="11">
        <v>1411047</v>
      </c>
      <c r="C23" s="11">
        <v>859200</v>
      </c>
      <c r="D23" s="11">
        <v>157150.57999999999</v>
      </c>
      <c r="E23" s="11">
        <v>157150.57999999999</v>
      </c>
      <c r="F23" s="14">
        <f t="shared" si="1"/>
        <v>0.18290337523277467</v>
      </c>
      <c r="G23" s="14">
        <f t="shared" si="2"/>
        <v>0.11137161271027825</v>
      </c>
    </row>
    <row r="24" spans="1:7" ht="13.5" customHeight="1" outlineLevel="3" x14ac:dyDescent="0.25">
      <c r="A24" s="69" t="s">
        <v>14</v>
      </c>
      <c r="B24" s="11">
        <v>202000</v>
      </c>
      <c r="C24" s="11">
        <v>61200</v>
      </c>
      <c r="D24" s="11">
        <v>25458.59</v>
      </c>
      <c r="E24" s="11">
        <v>25458.59</v>
      </c>
      <c r="F24" s="14">
        <f t="shared" si="1"/>
        <v>0.41599003267973855</v>
      </c>
      <c r="G24" s="14">
        <f t="shared" si="2"/>
        <v>0.12603262376237623</v>
      </c>
    </row>
    <row r="25" spans="1:7" ht="13.5" customHeight="1" outlineLevel="3" x14ac:dyDescent="0.25">
      <c r="A25" s="69" t="s">
        <v>15</v>
      </c>
      <c r="B25" s="11">
        <v>1688667</v>
      </c>
      <c r="C25" s="11">
        <v>568000</v>
      </c>
      <c r="D25" s="11">
        <v>387268.04</v>
      </c>
      <c r="E25" s="11">
        <v>387268.04</v>
      </c>
      <c r="F25" s="14">
        <f t="shared" si="1"/>
        <v>0.68180992957746478</v>
      </c>
      <c r="G25" s="14">
        <f t="shared" si="2"/>
        <v>0.22933357494402387</v>
      </c>
    </row>
    <row r="26" spans="1:7" ht="26.25" customHeight="1" outlineLevel="3" x14ac:dyDescent="0.25">
      <c r="A26" s="69" t="s">
        <v>16</v>
      </c>
      <c r="B26" s="11">
        <v>8000</v>
      </c>
      <c r="C26" s="11">
        <v>8000</v>
      </c>
      <c r="D26" s="12"/>
      <c r="E26" s="12"/>
      <c r="F26" s="14">
        <f t="shared" si="1"/>
        <v>0</v>
      </c>
      <c r="G26" s="14">
        <f t="shared" si="2"/>
        <v>0</v>
      </c>
    </row>
    <row r="27" spans="1:7" ht="13.5" customHeight="1" outlineLevel="3" x14ac:dyDescent="0.25">
      <c r="A27" s="69" t="s">
        <v>18</v>
      </c>
      <c r="B27" s="11">
        <v>30000</v>
      </c>
      <c r="C27" s="11">
        <v>9000</v>
      </c>
      <c r="D27" s="11">
        <v>3268.4</v>
      </c>
      <c r="E27" s="11">
        <v>3268.4</v>
      </c>
      <c r="F27" s="14">
        <f t="shared" si="1"/>
        <v>0.36315555555555556</v>
      </c>
      <c r="G27" s="14">
        <f t="shared" si="2"/>
        <v>0.10894666666666666</v>
      </c>
    </row>
    <row r="28" spans="1:7" ht="27" customHeight="1" outlineLevel="3" x14ac:dyDescent="0.25">
      <c r="A28" s="69" t="s">
        <v>56</v>
      </c>
      <c r="B28" s="11">
        <v>550000</v>
      </c>
      <c r="C28" s="11">
        <v>550000</v>
      </c>
      <c r="D28" s="11">
        <v>298000</v>
      </c>
      <c r="E28" s="11">
        <v>298000</v>
      </c>
      <c r="F28" s="14">
        <f t="shared" si="1"/>
        <v>0.54181818181818187</v>
      </c>
      <c r="G28" s="14">
        <f t="shared" si="2"/>
        <v>0.54181818181818187</v>
      </c>
    </row>
    <row r="29" spans="1:7" s="17" customFormat="1" ht="24.75" customHeight="1" outlineLevel="2" x14ac:dyDescent="0.2">
      <c r="A29" s="83" t="s">
        <v>19</v>
      </c>
      <c r="B29" s="9">
        <v>8562015</v>
      </c>
      <c r="C29" s="9">
        <v>3341751</v>
      </c>
      <c r="D29" s="9">
        <v>2899006.62</v>
      </c>
      <c r="E29" s="9">
        <v>2899006.62</v>
      </c>
      <c r="F29" s="16">
        <f t="shared" si="1"/>
        <v>0.86751125981558774</v>
      </c>
      <c r="G29" s="16">
        <f t="shared" si="2"/>
        <v>0.3385892946928965</v>
      </c>
    </row>
    <row r="30" spans="1:7" ht="13.5" customHeight="1" outlineLevel="3" x14ac:dyDescent="0.25">
      <c r="A30" s="69" t="s">
        <v>9</v>
      </c>
      <c r="B30" s="11">
        <v>6619134</v>
      </c>
      <c r="C30" s="11">
        <v>2526776</v>
      </c>
      <c r="D30" s="11">
        <v>2333441.7599999998</v>
      </c>
      <c r="E30" s="11">
        <v>2333441.7599999998</v>
      </c>
      <c r="F30" s="14">
        <f t="shared" si="1"/>
        <v>0.92348580166979577</v>
      </c>
      <c r="G30" s="14">
        <f t="shared" si="2"/>
        <v>0.35252976597844971</v>
      </c>
    </row>
    <row r="31" spans="1:7" ht="13.5" customHeight="1" outlineLevel="3" x14ac:dyDescent="0.25">
      <c r="A31" s="69" t="s">
        <v>10</v>
      </c>
      <c r="B31" s="11">
        <v>1456209</v>
      </c>
      <c r="C31" s="11">
        <v>557556</v>
      </c>
      <c r="D31" s="11">
        <v>516687.77</v>
      </c>
      <c r="E31" s="11">
        <v>516687.77</v>
      </c>
      <c r="F31" s="14">
        <f t="shared" si="1"/>
        <v>0.92670112060492582</v>
      </c>
      <c r="G31" s="14">
        <f t="shared" si="2"/>
        <v>0.35481704205920994</v>
      </c>
    </row>
    <row r="32" spans="1:7" ht="13.5" customHeight="1" outlineLevel="3" x14ac:dyDescent="0.25">
      <c r="A32" s="69" t="s">
        <v>11</v>
      </c>
      <c r="B32" s="11">
        <v>102600</v>
      </c>
      <c r="C32" s="11">
        <v>39600</v>
      </c>
      <c r="D32" s="12"/>
      <c r="E32" s="12"/>
      <c r="F32" s="14">
        <f t="shared" si="1"/>
        <v>0</v>
      </c>
      <c r="G32" s="14">
        <f t="shared" si="2"/>
        <v>0</v>
      </c>
    </row>
    <row r="33" spans="1:7" ht="13.5" customHeight="1" outlineLevel="3" x14ac:dyDescent="0.25">
      <c r="A33" s="69" t="s">
        <v>12</v>
      </c>
      <c r="B33" s="11">
        <v>124800</v>
      </c>
      <c r="C33" s="11">
        <v>48900</v>
      </c>
      <c r="D33" s="11">
        <v>16387.77</v>
      </c>
      <c r="E33" s="11">
        <v>16387.77</v>
      </c>
      <c r="F33" s="14">
        <f t="shared" si="1"/>
        <v>0.33512822085889571</v>
      </c>
      <c r="G33" s="14">
        <f t="shared" si="2"/>
        <v>0.13131225961538462</v>
      </c>
    </row>
    <row r="34" spans="1:7" ht="13.5" customHeight="1" outlineLevel="3" x14ac:dyDescent="0.25">
      <c r="A34" s="69" t="s">
        <v>13</v>
      </c>
      <c r="B34" s="11">
        <v>53637</v>
      </c>
      <c r="C34" s="11">
        <v>32182</v>
      </c>
      <c r="D34" s="11">
        <v>5726.5</v>
      </c>
      <c r="E34" s="11">
        <v>5726.5</v>
      </c>
      <c r="F34" s="14">
        <f t="shared" si="1"/>
        <v>0.17794108507861536</v>
      </c>
      <c r="G34" s="14">
        <f t="shared" si="2"/>
        <v>0.10676398754591047</v>
      </c>
    </row>
    <row r="35" spans="1:7" ht="13.5" customHeight="1" outlineLevel="3" x14ac:dyDescent="0.25">
      <c r="A35" s="69" t="s">
        <v>14</v>
      </c>
      <c r="B35" s="11">
        <v>22673</v>
      </c>
      <c r="C35" s="11">
        <v>7557</v>
      </c>
      <c r="D35" s="11">
        <v>2795.45</v>
      </c>
      <c r="E35" s="11">
        <v>2795.45</v>
      </c>
      <c r="F35" s="14">
        <f t="shared" si="1"/>
        <v>0.36991531030832336</v>
      </c>
      <c r="G35" s="14">
        <f t="shared" si="2"/>
        <v>0.1232942266131522</v>
      </c>
    </row>
    <row r="36" spans="1:7" ht="13.5" customHeight="1" outlineLevel="3" x14ac:dyDescent="0.25">
      <c r="A36" s="69" t="s">
        <v>15</v>
      </c>
      <c r="B36" s="11">
        <v>81862</v>
      </c>
      <c r="C36" s="11">
        <v>28380</v>
      </c>
      <c r="D36" s="11">
        <v>23017.37</v>
      </c>
      <c r="E36" s="11">
        <v>23017.37</v>
      </c>
      <c r="F36" s="14">
        <f t="shared" si="1"/>
        <v>0.81104193093727972</v>
      </c>
      <c r="G36" s="14">
        <f t="shared" si="2"/>
        <v>0.28117282744130362</v>
      </c>
    </row>
    <row r="37" spans="1:7" ht="25.5" customHeight="1" outlineLevel="3" x14ac:dyDescent="0.25">
      <c r="A37" s="69" t="s">
        <v>16</v>
      </c>
      <c r="B37" s="11">
        <v>1300</v>
      </c>
      <c r="C37" s="11">
        <v>1000</v>
      </c>
      <c r="D37" s="13">
        <v>950</v>
      </c>
      <c r="E37" s="13">
        <v>950</v>
      </c>
      <c r="F37" s="14">
        <f t="shared" si="1"/>
        <v>0.95</v>
      </c>
      <c r="G37" s="14">
        <f t="shared" si="2"/>
        <v>0.73076923076923073</v>
      </c>
    </row>
    <row r="38" spans="1:7" ht="25.5" customHeight="1" outlineLevel="3" x14ac:dyDescent="0.25">
      <c r="A38" s="69" t="s">
        <v>56</v>
      </c>
      <c r="B38" s="11">
        <v>99800</v>
      </c>
      <c r="C38" s="11">
        <v>99800</v>
      </c>
      <c r="D38" s="12"/>
      <c r="E38" s="12"/>
      <c r="F38" s="14">
        <f t="shared" ref="F38:F69" si="4">D38/C38</f>
        <v>0</v>
      </c>
      <c r="G38" s="14">
        <f t="shared" ref="G38:G69" si="5">D38/B38</f>
        <v>0</v>
      </c>
    </row>
    <row r="39" spans="1:7" s="17" customFormat="1" ht="24" customHeight="1" outlineLevel="2" x14ac:dyDescent="0.2">
      <c r="A39" s="83" t="s">
        <v>20</v>
      </c>
      <c r="B39" s="9">
        <v>44685654</v>
      </c>
      <c r="C39" s="9">
        <v>15632130</v>
      </c>
      <c r="D39" s="9">
        <v>15088544.42</v>
      </c>
      <c r="E39" s="9">
        <v>15088544.42</v>
      </c>
      <c r="F39" s="16">
        <f t="shared" si="4"/>
        <v>0.96522639077336225</v>
      </c>
      <c r="G39" s="16">
        <f t="shared" si="5"/>
        <v>0.33765969767388881</v>
      </c>
    </row>
    <row r="40" spans="1:7" ht="15" customHeight="1" outlineLevel="3" x14ac:dyDescent="0.25">
      <c r="A40" s="69" t="s">
        <v>9</v>
      </c>
      <c r="B40" s="11">
        <v>34610936</v>
      </c>
      <c r="C40" s="11">
        <v>12009435</v>
      </c>
      <c r="D40" s="11">
        <v>11880577.310000001</v>
      </c>
      <c r="E40" s="11">
        <v>11880577.310000001</v>
      </c>
      <c r="F40" s="14">
        <f t="shared" si="4"/>
        <v>0.98927029539691091</v>
      </c>
      <c r="G40" s="14">
        <f t="shared" si="5"/>
        <v>0.34326079219585393</v>
      </c>
    </row>
    <row r="41" spans="1:7" ht="15" customHeight="1" outlineLevel="3" x14ac:dyDescent="0.25">
      <c r="A41" s="69" t="s">
        <v>10</v>
      </c>
      <c r="B41" s="11">
        <v>7614406</v>
      </c>
      <c r="C41" s="11">
        <v>2619964</v>
      </c>
      <c r="D41" s="11">
        <v>2429098.94</v>
      </c>
      <c r="E41" s="11">
        <v>2429098.94</v>
      </c>
      <c r="F41" s="14">
        <f t="shared" si="4"/>
        <v>0.92714973946206891</v>
      </c>
      <c r="G41" s="14">
        <f t="shared" si="5"/>
        <v>0.31901358293739523</v>
      </c>
    </row>
    <row r="42" spans="1:7" ht="15" customHeight="1" outlineLevel="3" x14ac:dyDescent="0.25">
      <c r="A42" s="69" t="s">
        <v>11</v>
      </c>
      <c r="B42" s="11">
        <v>750000</v>
      </c>
      <c r="C42" s="11">
        <v>270000</v>
      </c>
      <c r="D42" s="11">
        <v>264778.44</v>
      </c>
      <c r="E42" s="11">
        <v>264778.44</v>
      </c>
      <c r="F42" s="14">
        <f t="shared" si="4"/>
        <v>0.98066088888888892</v>
      </c>
      <c r="G42" s="14">
        <f t="shared" si="5"/>
        <v>0.35303792000000001</v>
      </c>
    </row>
    <row r="43" spans="1:7" ht="15" customHeight="1" outlineLevel="3" x14ac:dyDescent="0.25">
      <c r="A43" s="69" t="s">
        <v>12</v>
      </c>
      <c r="B43" s="11">
        <v>472000</v>
      </c>
      <c r="C43" s="11">
        <v>180000</v>
      </c>
      <c r="D43" s="11">
        <v>160218.64000000001</v>
      </c>
      <c r="E43" s="11">
        <v>160218.64000000001</v>
      </c>
      <c r="F43" s="14">
        <f t="shared" si="4"/>
        <v>0.89010355555555565</v>
      </c>
      <c r="G43" s="14">
        <f t="shared" si="5"/>
        <v>0.33944627118644072</v>
      </c>
    </row>
    <row r="44" spans="1:7" ht="15" customHeight="1" outlineLevel="3" x14ac:dyDescent="0.25">
      <c r="A44" s="69" t="s">
        <v>21</v>
      </c>
      <c r="B44" s="11">
        <v>18000</v>
      </c>
      <c r="C44" s="11">
        <v>6000</v>
      </c>
      <c r="D44" s="11">
        <v>5256</v>
      </c>
      <c r="E44" s="11">
        <v>5256</v>
      </c>
      <c r="F44" s="14">
        <f t="shared" si="4"/>
        <v>0.876</v>
      </c>
      <c r="G44" s="14">
        <f t="shared" si="5"/>
        <v>0.29199999999999998</v>
      </c>
    </row>
    <row r="45" spans="1:7" ht="15" customHeight="1" outlineLevel="3" x14ac:dyDescent="0.25">
      <c r="A45" s="69" t="s">
        <v>13</v>
      </c>
      <c r="B45" s="11">
        <v>754444</v>
      </c>
      <c r="C45" s="11">
        <v>403447</v>
      </c>
      <c r="D45" s="11">
        <v>285841.56</v>
      </c>
      <c r="E45" s="11">
        <v>285841.56</v>
      </c>
      <c r="F45" s="14">
        <f t="shared" si="4"/>
        <v>0.70849841490951726</v>
      </c>
      <c r="G45" s="14">
        <f t="shared" si="5"/>
        <v>0.37887710684954745</v>
      </c>
    </row>
    <row r="46" spans="1:7" ht="15" customHeight="1" outlineLevel="3" x14ac:dyDescent="0.25">
      <c r="A46" s="69" t="s">
        <v>14</v>
      </c>
      <c r="B46" s="11">
        <v>26368</v>
      </c>
      <c r="C46" s="11">
        <v>8994</v>
      </c>
      <c r="D46" s="11">
        <v>6842.86</v>
      </c>
      <c r="E46" s="11">
        <v>6842.86</v>
      </c>
      <c r="F46" s="14">
        <f t="shared" si="4"/>
        <v>0.76082499444073826</v>
      </c>
      <c r="G46" s="14">
        <f t="shared" si="5"/>
        <v>0.25951380461165047</v>
      </c>
    </row>
    <row r="47" spans="1:7" ht="15" customHeight="1" outlineLevel="3" x14ac:dyDescent="0.25">
      <c r="A47" s="69" t="s">
        <v>15</v>
      </c>
      <c r="B47" s="11">
        <v>379500</v>
      </c>
      <c r="C47" s="11">
        <v>114290</v>
      </c>
      <c r="D47" s="11">
        <v>49274.67</v>
      </c>
      <c r="E47" s="11">
        <v>49274.67</v>
      </c>
      <c r="F47" s="14">
        <f t="shared" si="4"/>
        <v>0.43113719485519292</v>
      </c>
      <c r="G47" s="14">
        <f t="shared" si="5"/>
        <v>0.12984102766798419</v>
      </c>
    </row>
    <row r="48" spans="1:7" ht="15" customHeight="1" outlineLevel="3" x14ac:dyDescent="0.25">
      <c r="A48" s="69" t="s">
        <v>18</v>
      </c>
      <c r="B48" s="11">
        <v>60000</v>
      </c>
      <c r="C48" s="11">
        <v>20000</v>
      </c>
      <c r="D48" s="11">
        <v>6656</v>
      </c>
      <c r="E48" s="11">
        <v>6656</v>
      </c>
      <c r="F48" s="14">
        <f t="shared" si="4"/>
        <v>0.33279999999999998</v>
      </c>
      <c r="G48" s="14">
        <f t="shared" si="5"/>
        <v>0.11093333333333333</v>
      </c>
    </row>
    <row r="49" spans="1:7" s="17" customFormat="1" ht="27" customHeight="1" outlineLevel="2" x14ac:dyDescent="0.2">
      <c r="A49" s="83" t="s">
        <v>92</v>
      </c>
      <c r="B49" s="9">
        <v>9979327</v>
      </c>
      <c r="C49" s="9">
        <v>3856710</v>
      </c>
      <c r="D49" s="9">
        <v>3622693.96</v>
      </c>
      <c r="E49" s="9">
        <v>3622693.96</v>
      </c>
      <c r="F49" s="16">
        <f t="shared" si="4"/>
        <v>0.93932236543582481</v>
      </c>
      <c r="G49" s="16">
        <f t="shared" si="5"/>
        <v>0.36301986697098915</v>
      </c>
    </row>
    <row r="50" spans="1:7" ht="12.75" customHeight="1" outlineLevel="3" x14ac:dyDescent="0.25">
      <c r="A50" s="69" t="s">
        <v>9</v>
      </c>
      <c r="B50" s="11">
        <v>7486805</v>
      </c>
      <c r="C50" s="11">
        <v>2859847</v>
      </c>
      <c r="D50" s="11">
        <v>2843017.64</v>
      </c>
      <c r="E50" s="11">
        <v>2843017.64</v>
      </c>
      <c r="F50" s="14">
        <f t="shared" si="4"/>
        <v>0.99411529358039086</v>
      </c>
      <c r="G50" s="14">
        <f t="shared" si="5"/>
        <v>0.37973710280954293</v>
      </c>
    </row>
    <row r="51" spans="1:7" ht="12.75" customHeight="1" outlineLevel="3" x14ac:dyDescent="0.25">
      <c r="A51" s="69" t="s">
        <v>10</v>
      </c>
      <c r="B51" s="11">
        <v>1647097</v>
      </c>
      <c r="C51" s="11">
        <v>630353</v>
      </c>
      <c r="D51" s="11">
        <v>621744.1</v>
      </c>
      <c r="E51" s="11">
        <v>621744.1</v>
      </c>
      <c r="F51" s="14">
        <f t="shared" si="4"/>
        <v>0.98634273177092835</v>
      </c>
      <c r="G51" s="14">
        <f t="shared" si="5"/>
        <v>0.37747873986777947</v>
      </c>
    </row>
    <row r="52" spans="1:7" ht="12.75" customHeight="1" outlineLevel="3" x14ac:dyDescent="0.25">
      <c r="A52" s="69" t="s">
        <v>11</v>
      </c>
      <c r="B52" s="11">
        <v>168900</v>
      </c>
      <c r="C52" s="11">
        <v>88900</v>
      </c>
      <c r="D52" s="11">
        <v>57825</v>
      </c>
      <c r="E52" s="11">
        <v>57825</v>
      </c>
      <c r="F52" s="14">
        <f t="shared" si="4"/>
        <v>0.65044994375703036</v>
      </c>
      <c r="G52" s="14">
        <f t="shared" si="5"/>
        <v>0.34236234458259324</v>
      </c>
    </row>
    <row r="53" spans="1:7" ht="12.75" customHeight="1" outlineLevel="3" x14ac:dyDescent="0.25">
      <c r="A53" s="69" t="s">
        <v>12</v>
      </c>
      <c r="B53" s="11">
        <v>356300</v>
      </c>
      <c r="C53" s="11">
        <v>86180</v>
      </c>
      <c r="D53" s="11">
        <v>47070.5</v>
      </c>
      <c r="E53" s="11">
        <v>47070.5</v>
      </c>
      <c r="F53" s="14">
        <f t="shared" si="4"/>
        <v>0.54618821072174517</v>
      </c>
      <c r="G53" s="14">
        <f t="shared" si="5"/>
        <v>0.13210917765927588</v>
      </c>
    </row>
    <row r="54" spans="1:7" ht="12.75" customHeight="1" outlineLevel="3" x14ac:dyDescent="0.25">
      <c r="A54" s="69" t="s">
        <v>13</v>
      </c>
      <c r="B54" s="11">
        <v>67260</v>
      </c>
      <c r="C54" s="11">
        <v>41110</v>
      </c>
      <c r="D54" s="11">
        <v>11847.22</v>
      </c>
      <c r="E54" s="11">
        <v>11847.22</v>
      </c>
      <c r="F54" s="14">
        <f t="shared" si="4"/>
        <v>0.28818341036244222</v>
      </c>
      <c r="G54" s="14">
        <f t="shared" si="5"/>
        <v>0.17614064823074635</v>
      </c>
    </row>
    <row r="55" spans="1:7" ht="12.75" customHeight="1" outlineLevel="3" x14ac:dyDescent="0.25">
      <c r="A55" s="69" t="s">
        <v>14</v>
      </c>
      <c r="B55" s="11">
        <v>18005</v>
      </c>
      <c r="C55" s="11">
        <v>6000</v>
      </c>
      <c r="D55" s="11">
        <v>3366</v>
      </c>
      <c r="E55" s="11">
        <v>3366</v>
      </c>
      <c r="F55" s="14">
        <f t="shared" si="4"/>
        <v>0.56100000000000005</v>
      </c>
      <c r="G55" s="14">
        <f t="shared" si="5"/>
        <v>0.18694806998056096</v>
      </c>
    </row>
    <row r="56" spans="1:7" ht="12.75" customHeight="1" outlineLevel="3" x14ac:dyDescent="0.25">
      <c r="A56" s="69" t="s">
        <v>15</v>
      </c>
      <c r="B56" s="11">
        <v>135960</v>
      </c>
      <c r="C56" s="11">
        <v>45320</v>
      </c>
      <c r="D56" s="11">
        <v>37823.5</v>
      </c>
      <c r="E56" s="11">
        <v>37823.5</v>
      </c>
      <c r="F56" s="14">
        <f t="shared" si="4"/>
        <v>0.8345873786407767</v>
      </c>
      <c r="G56" s="14">
        <f t="shared" si="5"/>
        <v>0.27819579288025892</v>
      </c>
    </row>
    <row r="57" spans="1:7" ht="25.5" customHeight="1" outlineLevel="3" x14ac:dyDescent="0.25">
      <c r="A57" s="69" t="s">
        <v>56</v>
      </c>
      <c r="B57" s="11">
        <v>99000</v>
      </c>
      <c r="C57" s="11">
        <v>99000</v>
      </c>
      <c r="D57" s="12"/>
      <c r="E57" s="12"/>
      <c r="F57" s="14">
        <f t="shared" si="4"/>
        <v>0</v>
      </c>
      <c r="G57" s="14">
        <f t="shared" si="5"/>
        <v>0</v>
      </c>
    </row>
    <row r="58" spans="1:7" s="17" customFormat="1" ht="25.5" customHeight="1" outlineLevel="2" x14ac:dyDescent="0.2">
      <c r="A58" s="83" t="s">
        <v>22</v>
      </c>
      <c r="B58" s="9">
        <v>3642616</v>
      </c>
      <c r="C58" s="9">
        <v>1603903</v>
      </c>
      <c r="D58" s="9">
        <v>1529893.64</v>
      </c>
      <c r="E58" s="9">
        <v>1529893.64</v>
      </c>
      <c r="F58" s="16">
        <f t="shared" si="4"/>
        <v>0.95385671078612599</v>
      </c>
      <c r="G58" s="16">
        <f t="shared" si="5"/>
        <v>0.41999860539787887</v>
      </c>
    </row>
    <row r="59" spans="1:7" ht="15.75" customHeight="1" outlineLevel="3" x14ac:dyDescent="0.25">
      <c r="A59" s="69" t="s">
        <v>9</v>
      </c>
      <c r="B59" s="11">
        <v>2601337</v>
      </c>
      <c r="C59" s="11">
        <v>1072612</v>
      </c>
      <c r="D59" s="11">
        <v>1046311.58</v>
      </c>
      <c r="E59" s="11">
        <v>1046311.58</v>
      </c>
      <c r="F59" s="14">
        <f t="shared" si="4"/>
        <v>0.97548002446364568</v>
      </c>
      <c r="G59" s="14">
        <f t="shared" si="5"/>
        <v>0.40222069651106335</v>
      </c>
    </row>
    <row r="60" spans="1:7" ht="15.75" customHeight="1" outlineLevel="3" x14ac:dyDescent="0.25">
      <c r="A60" s="69" t="s">
        <v>10</v>
      </c>
      <c r="B60" s="11">
        <v>572294</v>
      </c>
      <c r="C60" s="11">
        <v>235964</v>
      </c>
      <c r="D60" s="11">
        <v>230188.53</v>
      </c>
      <c r="E60" s="11">
        <v>230188.53</v>
      </c>
      <c r="F60" s="14">
        <f t="shared" si="4"/>
        <v>0.97552393585462194</v>
      </c>
      <c r="G60" s="14">
        <f t="shared" si="5"/>
        <v>0.40222076415269076</v>
      </c>
    </row>
    <row r="61" spans="1:7" ht="15.75" customHeight="1" outlineLevel="3" x14ac:dyDescent="0.25">
      <c r="A61" s="69" t="s">
        <v>11</v>
      </c>
      <c r="B61" s="11">
        <v>134700</v>
      </c>
      <c r="C61" s="11">
        <v>112700</v>
      </c>
      <c r="D61" s="11">
        <v>107500</v>
      </c>
      <c r="E61" s="11">
        <v>107500</v>
      </c>
      <c r="F61" s="14">
        <f t="shared" si="4"/>
        <v>0.9538598047914818</v>
      </c>
      <c r="G61" s="14">
        <f t="shared" si="5"/>
        <v>0.79806978470675571</v>
      </c>
    </row>
    <row r="62" spans="1:7" ht="15.75" customHeight="1" outlineLevel="3" x14ac:dyDescent="0.25">
      <c r="A62" s="69" t="s">
        <v>12</v>
      </c>
      <c r="B62" s="11">
        <v>159327</v>
      </c>
      <c r="C62" s="11">
        <v>43727</v>
      </c>
      <c r="D62" s="11">
        <v>24532.400000000001</v>
      </c>
      <c r="E62" s="11">
        <v>24532.400000000001</v>
      </c>
      <c r="F62" s="14">
        <f t="shared" si="4"/>
        <v>0.561035515814028</v>
      </c>
      <c r="G62" s="14">
        <f t="shared" si="5"/>
        <v>0.15397515800837272</v>
      </c>
    </row>
    <row r="63" spans="1:7" ht="15.75" customHeight="1" outlineLevel="3" x14ac:dyDescent="0.25">
      <c r="A63" s="69" t="s">
        <v>13</v>
      </c>
      <c r="B63" s="11">
        <v>25209</v>
      </c>
      <c r="C63" s="11">
        <v>20700</v>
      </c>
      <c r="D63" s="11">
        <v>8505.15</v>
      </c>
      <c r="E63" s="11">
        <v>8505.15</v>
      </c>
      <c r="F63" s="14">
        <f t="shared" si="4"/>
        <v>0.41087681159420286</v>
      </c>
      <c r="G63" s="14">
        <f t="shared" si="5"/>
        <v>0.3373854575746757</v>
      </c>
    </row>
    <row r="64" spans="1:7" ht="15.75" customHeight="1" outlineLevel="3" x14ac:dyDescent="0.25">
      <c r="A64" s="69" t="s">
        <v>14</v>
      </c>
      <c r="B64" s="11">
        <v>3449</v>
      </c>
      <c r="C64" s="11">
        <v>1400</v>
      </c>
      <c r="D64" s="13">
        <v>828.05</v>
      </c>
      <c r="E64" s="13">
        <v>828.05</v>
      </c>
      <c r="F64" s="14">
        <f t="shared" si="4"/>
        <v>0.59146428571428566</v>
      </c>
      <c r="G64" s="14">
        <f t="shared" si="5"/>
        <v>0.24008408234270801</v>
      </c>
    </row>
    <row r="65" spans="1:7" ht="15.75" customHeight="1" outlineLevel="3" x14ac:dyDescent="0.25">
      <c r="A65" s="69" t="s">
        <v>15</v>
      </c>
      <c r="B65" s="11">
        <v>45100</v>
      </c>
      <c r="C65" s="11">
        <v>15600</v>
      </c>
      <c r="D65" s="11">
        <v>12028.93</v>
      </c>
      <c r="E65" s="11">
        <v>12028.93</v>
      </c>
      <c r="F65" s="14">
        <f t="shared" si="4"/>
        <v>0.77108525641025638</v>
      </c>
      <c r="G65" s="14">
        <f t="shared" si="5"/>
        <v>0.26671685144124169</v>
      </c>
    </row>
    <row r="66" spans="1:7" ht="25.5" customHeight="1" outlineLevel="3" x14ac:dyDescent="0.25">
      <c r="A66" s="69" t="s">
        <v>56</v>
      </c>
      <c r="B66" s="11">
        <v>101200</v>
      </c>
      <c r="C66" s="11">
        <v>101200</v>
      </c>
      <c r="D66" s="11">
        <v>99999</v>
      </c>
      <c r="E66" s="11">
        <v>99999</v>
      </c>
      <c r="F66" s="14">
        <f t="shared" si="4"/>
        <v>0.98813241106719363</v>
      </c>
      <c r="G66" s="14">
        <f t="shared" si="5"/>
        <v>0.98813241106719363</v>
      </c>
    </row>
    <row r="67" spans="1:7" s="17" customFormat="1" ht="25.5" customHeight="1" outlineLevel="2" x14ac:dyDescent="0.2">
      <c r="A67" s="83" t="s">
        <v>23</v>
      </c>
      <c r="B67" s="9">
        <v>15219262</v>
      </c>
      <c r="C67" s="9">
        <v>5441141</v>
      </c>
      <c r="D67" s="9">
        <v>5163910.45</v>
      </c>
      <c r="E67" s="9">
        <v>5163910.45</v>
      </c>
      <c r="F67" s="16">
        <f t="shared" si="4"/>
        <v>0.9490491883963309</v>
      </c>
      <c r="G67" s="16">
        <f t="shared" si="5"/>
        <v>0.33930097596059522</v>
      </c>
    </row>
    <row r="68" spans="1:7" ht="13.5" customHeight="1" outlineLevel="3" x14ac:dyDescent="0.25">
      <c r="A68" s="69" t="s">
        <v>9</v>
      </c>
      <c r="B68" s="11">
        <v>12462510</v>
      </c>
      <c r="C68" s="11">
        <v>4459952</v>
      </c>
      <c r="D68" s="11">
        <v>4229302.07</v>
      </c>
      <c r="E68" s="11">
        <v>4229302.07</v>
      </c>
      <c r="F68" s="14">
        <f t="shared" si="4"/>
        <v>0.94828421247582939</v>
      </c>
      <c r="G68" s="14">
        <f t="shared" si="5"/>
        <v>0.33936198005056767</v>
      </c>
    </row>
    <row r="69" spans="1:7" ht="13.5" customHeight="1" outlineLevel="3" x14ac:dyDescent="0.25">
      <c r="A69" s="69" t="s">
        <v>10</v>
      </c>
      <c r="B69" s="11">
        <v>2741752</v>
      </c>
      <c r="C69" s="11">
        <v>981189</v>
      </c>
      <c r="D69" s="11">
        <v>934608.38</v>
      </c>
      <c r="E69" s="11">
        <v>934608.38</v>
      </c>
      <c r="F69" s="14">
        <f t="shared" si="4"/>
        <v>0.95252635323062118</v>
      </c>
      <c r="G69" s="14">
        <f t="shared" si="5"/>
        <v>0.34087998476886311</v>
      </c>
    </row>
    <row r="70" spans="1:7" ht="13.5" customHeight="1" outlineLevel="3" x14ac:dyDescent="0.25">
      <c r="A70" s="69" t="s">
        <v>11</v>
      </c>
      <c r="B70" s="11">
        <v>15000</v>
      </c>
      <c r="C70" s="12"/>
      <c r="D70" s="12"/>
      <c r="E70" s="12"/>
      <c r="F70" s="14">
        <v>0</v>
      </c>
      <c r="G70" s="14">
        <f t="shared" ref="G70:G90" si="6">D70/B70</f>
        <v>0</v>
      </c>
    </row>
    <row r="71" spans="1:7" s="17" customFormat="1" ht="27" customHeight="1" outlineLevel="2" x14ac:dyDescent="0.2">
      <c r="A71" s="83" t="s">
        <v>24</v>
      </c>
      <c r="B71" s="9">
        <v>16204679</v>
      </c>
      <c r="C71" s="9">
        <v>6099624</v>
      </c>
      <c r="D71" s="9">
        <v>5275726.38</v>
      </c>
      <c r="E71" s="9">
        <v>5275726.38</v>
      </c>
      <c r="F71" s="16">
        <f t="shared" ref="F71:F90" si="7">D71/C71</f>
        <v>0.86492649055089299</v>
      </c>
      <c r="G71" s="16">
        <f t="shared" si="6"/>
        <v>0.32556808931543785</v>
      </c>
    </row>
    <row r="72" spans="1:7" ht="13.5" customHeight="1" outlineLevel="3" x14ac:dyDescent="0.25">
      <c r="A72" s="69" t="s">
        <v>9</v>
      </c>
      <c r="B72" s="11">
        <v>11123899</v>
      </c>
      <c r="C72" s="11">
        <v>3965064</v>
      </c>
      <c r="D72" s="11">
        <v>3710486.65</v>
      </c>
      <c r="E72" s="11">
        <v>3710486.65</v>
      </c>
      <c r="F72" s="14">
        <f t="shared" si="7"/>
        <v>0.935794895113925</v>
      </c>
      <c r="G72" s="14">
        <f t="shared" si="6"/>
        <v>0.33355990107425459</v>
      </c>
    </row>
    <row r="73" spans="1:7" ht="13.5" customHeight="1" outlineLevel="3" x14ac:dyDescent="0.25">
      <c r="A73" s="69" t="s">
        <v>10</v>
      </c>
      <c r="B73" s="11">
        <v>2447258</v>
      </c>
      <c r="C73" s="11">
        <v>893005</v>
      </c>
      <c r="D73" s="11">
        <v>840232.79</v>
      </c>
      <c r="E73" s="11">
        <v>840232.79</v>
      </c>
      <c r="F73" s="14">
        <f t="shared" si="7"/>
        <v>0.94090491094674722</v>
      </c>
      <c r="G73" s="14">
        <f t="shared" si="6"/>
        <v>0.34333641569462642</v>
      </c>
    </row>
    <row r="74" spans="1:7" ht="13.5" customHeight="1" outlineLevel="3" x14ac:dyDescent="0.25">
      <c r="A74" s="69" t="s">
        <v>11</v>
      </c>
      <c r="B74" s="11">
        <v>358109</v>
      </c>
      <c r="C74" s="11">
        <v>119709</v>
      </c>
      <c r="D74" s="11">
        <v>4200</v>
      </c>
      <c r="E74" s="11">
        <v>4200</v>
      </c>
      <c r="F74" s="14">
        <f t="shared" si="7"/>
        <v>3.5085081322206349E-2</v>
      </c>
      <c r="G74" s="14">
        <f t="shared" si="6"/>
        <v>1.1728272676754843E-2</v>
      </c>
    </row>
    <row r="75" spans="1:7" ht="13.5" customHeight="1" outlineLevel="3" x14ac:dyDescent="0.25">
      <c r="A75" s="69" t="s">
        <v>12</v>
      </c>
      <c r="B75" s="11">
        <v>770000</v>
      </c>
      <c r="C75" s="11">
        <v>257200</v>
      </c>
      <c r="D75" s="11">
        <v>257040.28</v>
      </c>
      <c r="E75" s="11">
        <v>257040.28</v>
      </c>
      <c r="F75" s="14">
        <f t="shared" si="7"/>
        <v>0.9993790046656299</v>
      </c>
      <c r="G75" s="14">
        <f t="shared" si="6"/>
        <v>0.33381854545454548</v>
      </c>
    </row>
    <row r="76" spans="1:7" ht="13.5" customHeight="1" outlineLevel="3" x14ac:dyDescent="0.25">
      <c r="A76" s="69" t="s">
        <v>13</v>
      </c>
      <c r="B76" s="11">
        <v>716049</v>
      </c>
      <c r="C76" s="11">
        <v>362025</v>
      </c>
      <c r="D76" s="11">
        <v>77627.34</v>
      </c>
      <c r="E76" s="11">
        <v>77627.34</v>
      </c>
      <c r="F76" s="14">
        <f t="shared" si="7"/>
        <v>0.21442535736482285</v>
      </c>
      <c r="G76" s="14">
        <f t="shared" si="6"/>
        <v>0.10841065346086649</v>
      </c>
    </row>
    <row r="77" spans="1:7" ht="13.5" customHeight="1" outlineLevel="3" x14ac:dyDescent="0.25">
      <c r="A77" s="69" t="s">
        <v>14</v>
      </c>
      <c r="B77" s="11">
        <v>67269</v>
      </c>
      <c r="C77" s="11">
        <v>27334</v>
      </c>
      <c r="D77" s="11">
        <v>5757.58</v>
      </c>
      <c r="E77" s="11">
        <v>5757.58</v>
      </c>
      <c r="F77" s="14">
        <f t="shared" si="7"/>
        <v>0.21063803321870198</v>
      </c>
      <c r="G77" s="14">
        <f t="shared" si="6"/>
        <v>8.5590390818950784E-2</v>
      </c>
    </row>
    <row r="78" spans="1:7" ht="13.5" customHeight="1" outlineLevel="3" x14ac:dyDescent="0.25">
      <c r="A78" s="69" t="s">
        <v>15</v>
      </c>
      <c r="B78" s="11">
        <v>557095</v>
      </c>
      <c r="C78" s="11">
        <v>310287</v>
      </c>
      <c r="D78" s="11">
        <v>280185.37</v>
      </c>
      <c r="E78" s="11">
        <v>280185.37</v>
      </c>
      <c r="F78" s="14">
        <f t="shared" si="7"/>
        <v>0.90298778227898691</v>
      </c>
      <c r="G78" s="14">
        <f t="shared" si="6"/>
        <v>0.502940019206778</v>
      </c>
    </row>
    <row r="79" spans="1:7" ht="13.5" customHeight="1" outlineLevel="3" x14ac:dyDescent="0.25">
      <c r="A79" s="69" t="s">
        <v>18</v>
      </c>
      <c r="B79" s="11">
        <v>15000</v>
      </c>
      <c r="C79" s="11">
        <v>15000</v>
      </c>
      <c r="D79" s="13">
        <v>596.37</v>
      </c>
      <c r="E79" s="13">
        <v>596.37</v>
      </c>
      <c r="F79" s="14">
        <f t="shared" si="7"/>
        <v>3.9758000000000002E-2</v>
      </c>
      <c r="G79" s="14">
        <f t="shared" si="6"/>
        <v>3.9758000000000002E-2</v>
      </c>
    </row>
    <row r="80" spans="1:7" ht="25.5" customHeight="1" outlineLevel="3" x14ac:dyDescent="0.25">
      <c r="A80" s="69" t="s">
        <v>56</v>
      </c>
      <c r="B80" s="11">
        <v>150000</v>
      </c>
      <c r="C80" s="11">
        <v>150000</v>
      </c>
      <c r="D80" s="11">
        <v>99600</v>
      </c>
      <c r="E80" s="11">
        <v>99600</v>
      </c>
      <c r="F80" s="14">
        <f t="shared" si="7"/>
        <v>0.66400000000000003</v>
      </c>
      <c r="G80" s="14">
        <f t="shared" si="6"/>
        <v>0.66400000000000003</v>
      </c>
    </row>
    <row r="81" spans="1:9" s="17" customFormat="1" ht="26.25" customHeight="1" outlineLevel="2" x14ac:dyDescent="0.2">
      <c r="A81" s="83" t="s">
        <v>25</v>
      </c>
      <c r="B81" s="9">
        <v>3411488</v>
      </c>
      <c r="C81" s="9">
        <v>1257566</v>
      </c>
      <c r="D81" s="9">
        <v>1183773.56</v>
      </c>
      <c r="E81" s="9">
        <v>1183773.56</v>
      </c>
      <c r="F81" s="16">
        <f t="shared" si="7"/>
        <v>0.94132121892608422</v>
      </c>
      <c r="G81" s="16">
        <f t="shared" si="6"/>
        <v>0.34699625500661296</v>
      </c>
    </row>
    <row r="82" spans="1:9" ht="13.5" customHeight="1" outlineLevel="3" x14ac:dyDescent="0.25">
      <c r="A82" s="69" t="s">
        <v>9</v>
      </c>
      <c r="B82" s="11">
        <v>2511272</v>
      </c>
      <c r="C82" s="11">
        <v>954394</v>
      </c>
      <c r="D82" s="11">
        <v>937658.68</v>
      </c>
      <c r="E82" s="11">
        <v>937658.68</v>
      </c>
      <c r="F82" s="14">
        <f t="shared" si="7"/>
        <v>0.9824649777764739</v>
      </c>
      <c r="G82" s="14">
        <f t="shared" si="6"/>
        <v>0.37337997636257642</v>
      </c>
    </row>
    <row r="83" spans="1:9" ht="13.5" customHeight="1" outlineLevel="3" x14ac:dyDescent="0.25">
      <c r="A83" s="69" t="s">
        <v>10</v>
      </c>
      <c r="B83" s="11">
        <v>552480</v>
      </c>
      <c r="C83" s="11">
        <v>209965</v>
      </c>
      <c r="D83" s="11">
        <v>206284.92</v>
      </c>
      <c r="E83" s="11">
        <v>206284.92</v>
      </c>
      <c r="F83" s="14">
        <f t="shared" si="7"/>
        <v>0.98247288833853264</v>
      </c>
      <c r="G83" s="14">
        <f t="shared" si="6"/>
        <v>0.37337988705473502</v>
      </c>
    </row>
    <row r="84" spans="1:9" ht="13.5" customHeight="1" outlineLevel="3" x14ac:dyDescent="0.25">
      <c r="A84" s="69" t="s">
        <v>11</v>
      </c>
      <c r="B84" s="11">
        <v>50000</v>
      </c>
      <c r="C84" s="11">
        <v>20000</v>
      </c>
      <c r="D84" s="11">
        <v>19200</v>
      </c>
      <c r="E84" s="11">
        <v>19200</v>
      </c>
      <c r="F84" s="14">
        <f t="shared" si="7"/>
        <v>0.96</v>
      </c>
      <c r="G84" s="14">
        <f t="shared" si="6"/>
        <v>0.38400000000000001</v>
      </c>
    </row>
    <row r="85" spans="1:9" ht="13.5" customHeight="1" outlineLevel="3" x14ac:dyDescent="0.25">
      <c r="A85" s="69" t="s">
        <v>12</v>
      </c>
      <c r="B85" s="11">
        <v>233100</v>
      </c>
      <c r="C85" s="11">
        <v>40000</v>
      </c>
      <c r="D85" s="11">
        <v>12649.3</v>
      </c>
      <c r="E85" s="11">
        <v>12649.3</v>
      </c>
      <c r="F85" s="14">
        <f t="shared" si="7"/>
        <v>0.31623249999999997</v>
      </c>
      <c r="G85" s="14">
        <f t="shared" si="6"/>
        <v>5.4265551265551264E-2</v>
      </c>
    </row>
    <row r="86" spans="1:9" ht="13.5" customHeight="1" outlineLevel="3" x14ac:dyDescent="0.25">
      <c r="A86" s="69" t="s">
        <v>13</v>
      </c>
      <c r="B86" s="11">
        <v>24673</v>
      </c>
      <c r="C86" s="11">
        <v>15072</v>
      </c>
      <c r="D86" s="12"/>
      <c r="E86" s="12"/>
      <c r="F86" s="14">
        <f t="shared" si="7"/>
        <v>0</v>
      </c>
      <c r="G86" s="14">
        <f t="shared" si="6"/>
        <v>0</v>
      </c>
    </row>
    <row r="87" spans="1:9" ht="13.5" customHeight="1" outlineLevel="3" x14ac:dyDescent="0.25">
      <c r="A87" s="69" t="s">
        <v>14</v>
      </c>
      <c r="B87" s="11">
        <v>2615</v>
      </c>
      <c r="C87" s="13">
        <v>769</v>
      </c>
      <c r="D87" s="13">
        <v>769</v>
      </c>
      <c r="E87" s="13">
        <v>769</v>
      </c>
      <c r="F87" s="14">
        <f t="shared" si="7"/>
        <v>1</v>
      </c>
      <c r="G87" s="14">
        <f t="shared" si="6"/>
        <v>0.29407265774378583</v>
      </c>
    </row>
    <row r="88" spans="1:9" ht="13.5" customHeight="1" outlineLevel="3" x14ac:dyDescent="0.25">
      <c r="A88" s="69" t="s">
        <v>15</v>
      </c>
      <c r="B88" s="11">
        <v>28500</v>
      </c>
      <c r="C88" s="11">
        <v>9750</v>
      </c>
      <c r="D88" s="11">
        <v>6595.68</v>
      </c>
      <c r="E88" s="11">
        <v>6595.68</v>
      </c>
      <c r="F88" s="14">
        <f t="shared" si="7"/>
        <v>0.67648000000000008</v>
      </c>
      <c r="G88" s="14">
        <f t="shared" si="6"/>
        <v>0.23142736842105263</v>
      </c>
    </row>
    <row r="89" spans="1:9" ht="13.5" customHeight="1" outlineLevel="3" x14ac:dyDescent="0.25">
      <c r="A89" s="69" t="s">
        <v>26</v>
      </c>
      <c r="B89" s="11">
        <v>1848</v>
      </c>
      <c r="C89" s="13">
        <v>616</v>
      </c>
      <c r="D89" s="13">
        <v>615.98</v>
      </c>
      <c r="E89" s="13">
        <v>615.98</v>
      </c>
      <c r="F89" s="14">
        <f t="shared" si="7"/>
        <v>0.99996753246753245</v>
      </c>
      <c r="G89" s="14">
        <f t="shared" si="6"/>
        <v>0.33332251082251085</v>
      </c>
    </row>
    <row r="90" spans="1:9" ht="24.75" customHeight="1" outlineLevel="3" x14ac:dyDescent="0.25">
      <c r="A90" s="69" t="s">
        <v>16</v>
      </c>
      <c r="B90" s="11">
        <v>7000</v>
      </c>
      <c r="C90" s="11">
        <v>7000</v>
      </c>
      <c r="D90" s="12"/>
      <c r="E90" s="12"/>
      <c r="F90" s="14">
        <f t="shared" si="7"/>
        <v>0</v>
      </c>
      <c r="G90" s="14">
        <f t="shared" si="6"/>
        <v>0</v>
      </c>
    </row>
    <row r="91" spans="1:9" s="27" customFormat="1" ht="21" customHeight="1" outlineLevel="3" x14ac:dyDescent="0.2">
      <c r="A91" s="24" t="s">
        <v>27</v>
      </c>
      <c r="B91" s="25">
        <f>B92+B138+B199+B214+B237+B274+B278+B285+B322+B342+B353+B356+B375+B382+B401+B404+B423</f>
        <v>3875692855</v>
      </c>
      <c r="C91" s="25">
        <f t="shared" ref="C91:E91" si="8">C92+C138+C199+C214+C237+C274+C278+C285+C322+C342+C353+C356+C375+C382+C401+C404+C423</f>
        <v>1447498637</v>
      </c>
      <c r="D91" s="25">
        <f t="shared" si="8"/>
        <v>1312854145.1799998</v>
      </c>
      <c r="E91" s="25">
        <f t="shared" si="8"/>
        <v>1268848627.6800003</v>
      </c>
      <c r="F91" s="26">
        <f t="shared" ref="F91" si="9">D91/C91</f>
        <v>0.90698126521275602</v>
      </c>
      <c r="G91" s="26">
        <f t="shared" ref="G91" si="10">D91/B91</f>
        <v>0.33874050248494209</v>
      </c>
      <c r="H91" s="85"/>
      <c r="I91" s="85"/>
    </row>
    <row r="92" spans="1:9" s="18" customFormat="1" ht="18" customHeight="1" outlineLevel="1" x14ac:dyDescent="0.2">
      <c r="A92" s="70" t="s">
        <v>65</v>
      </c>
      <c r="B92" s="22">
        <f>B93+B104+B114+B125</f>
        <v>1211920903</v>
      </c>
      <c r="C92" s="22">
        <f t="shared" ref="C92:E92" si="11">C93+C104+C114+C125</f>
        <v>400934778</v>
      </c>
      <c r="D92" s="22">
        <f t="shared" si="11"/>
        <v>369778141.75</v>
      </c>
      <c r="E92" s="22">
        <f t="shared" si="11"/>
        <v>368071267.69</v>
      </c>
      <c r="F92" s="23">
        <f>D92/C92</f>
        <v>0.92229001333977567</v>
      </c>
      <c r="G92" s="23">
        <f t="shared" ref="G92:G155" si="12">D92/B92</f>
        <v>0.30511738912551789</v>
      </c>
      <c r="H92" s="47"/>
    </row>
    <row r="93" spans="1:9" s="17" customFormat="1" ht="27" customHeight="1" outlineLevel="2" x14ac:dyDescent="0.2">
      <c r="A93" s="83" t="s">
        <v>28</v>
      </c>
      <c r="B93" s="9">
        <v>11702620</v>
      </c>
      <c r="C93" s="9">
        <v>3585949</v>
      </c>
      <c r="D93" s="9">
        <v>3248262.87</v>
      </c>
      <c r="E93" s="9">
        <v>3248262.87</v>
      </c>
      <c r="F93" s="16">
        <f>D93/C93</f>
        <v>0.90583074940552699</v>
      </c>
      <c r="G93" s="16">
        <f t="shared" si="12"/>
        <v>0.2775671490657648</v>
      </c>
    </row>
    <row r="94" spans="1:9" ht="13.5" customHeight="1" outlineLevel="3" x14ac:dyDescent="0.25">
      <c r="A94" s="69" t="s">
        <v>9</v>
      </c>
      <c r="B94" s="11">
        <v>8373841</v>
      </c>
      <c r="C94" s="11">
        <v>2480000</v>
      </c>
      <c r="D94" s="11">
        <v>2469343.2799999998</v>
      </c>
      <c r="E94" s="11">
        <v>2469343.2799999998</v>
      </c>
      <c r="F94" s="14">
        <f>D94/C94</f>
        <v>0.9957029354838709</v>
      </c>
      <c r="G94" s="14">
        <f t="shared" si="12"/>
        <v>0.294887767751979</v>
      </c>
    </row>
    <row r="95" spans="1:9" ht="13.5" customHeight="1" outlineLevel="3" x14ac:dyDescent="0.25">
      <c r="A95" s="69" t="s">
        <v>10</v>
      </c>
      <c r="B95" s="11">
        <v>1842245</v>
      </c>
      <c r="C95" s="11">
        <v>545600</v>
      </c>
      <c r="D95" s="11">
        <v>522357.09</v>
      </c>
      <c r="E95" s="11">
        <v>522357.09</v>
      </c>
      <c r="F95" s="14">
        <f>D95/C95</f>
        <v>0.95739935850439883</v>
      </c>
      <c r="G95" s="14">
        <f t="shared" si="12"/>
        <v>0.28354376860840985</v>
      </c>
    </row>
    <row r="96" spans="1:9" ht="13.5" customHeight="1" outlineLevel="3" x14ac:dyDescent="0.25">
      <c r="A96" s="69" t="s">
        <v>11</v>
      </c>
      <c r="B96" s="11">
        <v>101356</v>
      </c>
      <c r="C96" s="12"/>
      <c r="D96" s="12"/>
      <c r="E96" s="12"/>
      <c r="F96" s="14">
        <v>0</v>
      </c>
      <c r="G96" s="14">
        <f t="shared" si="12"/>
        <v>0</v>
      </c>
    </row>
    <row r="97" spans="1:7" ht="13.5" customHeight="1" outlineLevel="3" x14ac:dyDescent="0.25">
      <c r="A97" s="69" t="s">
        <v>29</v>
      </c>
      <c r="B97" s="11">
        <v>5217</v>
      </c>
      <c r="C97" s="11">
        <v>5217</v>
      </c>
      <c r="D97" s="12"/>
      <c r="E97" s="12"/>
      <c r="F97" s="14">
        <f t="shared" ref="F97:F128" si="13">D97/C97</f>
        <v>0</v>
      </c>
      <c r="G97" s="14">
        <f t="shared" si="12"/>
        <v>0</v>
      </c>
    </row>
    <row r="98" spans="1:7" ht="13.5" customHeight="1" outlineLevel="3" x14ac:dyDescent="0.25">
      <c r="A98" s="69" t="s">
        <v>12</v>
      </c>
      <c r="B98" s="11">
        <v>280248</v>
      </c>
      <c r="C98" s="11">
        <v>100000</v>
      </c>
      <c r="D98" s="11">
        <v>16976</v>
      </c>
      <c r="E98" s="11">
        <v>16976</v>
      </c>
      <c r="F98" s="14">
        <f t="shared" si="13"/>
        <v>0.16975999999999999</v>
      </c>
      <c r="G98" s="14">
        <f t="shared" si="12"/>
        <v>6.0574919357140815E-2</v>
      </c>
    </row>
    <row r="99" spans="1:7" ht="13.5" customHeight="1" outlineLevel="3" x14ac:dyDescent="0.25">
      <c r="A99" s="69" t="s">
        <v>13</v>
      </c>
      <c r="B99" s="11">
        <v>643020</v>
      </c>
      <c r="C99" s="11">
        <v>280000</v>
      </c>
      <c r="D99" s="11">
        <v>107484.24</v>
      </c>
      <c r="E99" s="11">
        <v>107484.24</v>
      </c>
      <c r="F99" s="14">
        <f t="shared" si="13"/>
        <v>0.38387228571428572</v>
      </c>
      <c r="G99" s="14">
        <f t="shared" si="12"/>
        <v>0.1671553606419707</v>
      </c>
    </row>
    <row r="100" spans="1:7" ht="13.5" customHeight="1" outlineLevel="3" x14ac:dyDescent="0.25">
      <c r="A100" s="69" t="s">
        <v>14</v>
      </c>
      <c r="B100" s="11">
        <v>45298</v>
      </c>
      <c r="C100" s="11">
        <v>16000</v>
      </c>
      <c r="D100" s="11">
        <v>15460.91</v>
      </c>
      <c r="E100" s="11">
        <v>15460.91</v>
      </c>
      <c r="F100" s="14">
        <f t="shared" si="13"/>
        <v>0.96630687500000001</v>
      </c>
      <c r="G100" s="14">
        <f t="shared" si="12"/>
        <v>0.34131551061857035</v>
      </c>
    </row>
    <row r="101" spans="1:7" ht="13.5" customHeight="1" outlineLevel="3" x14ac:dyDescent="0.25">
      <c r="A101" s="69" t="s">
        <v>15</v>
      </c>
      <c r="B101" s="11">
        <v>390000</v>
      </c>
      <c r="C101" s="11">
        <v>150000</v>
      </c>
      <c r="D101" s="11">
        <v>112517.35</v>
      </c>
      <c r="E101" s="11">
        <v>112517.35</v>
      </c>
      <c r="F101" s="14">
        <f t="shared" si="13"/>
        <v>0.75011566666666674</v>
      </c>
      <c r="G101" s="14">
        <f t="shared" si="12"/>
        <v>0.28850602564102568</v>
      </c>
    </row>
    <row r="102" spans="1:7" ht="13.5" customHeight="1" outlineLevel="3" x14ac:dyDescent="0.25">
      <c r="A102" s="69" t="s">
        <v>26</v>
      </c>
      <c r="B102" s="11">
        <v>18395</v>
      </c>
      <c r="C102" s="11">
        <v>6132</v>
      </c>
      <c r="D102" s="11">
        <v>4124</v>
      </c>
      <c r="E102" s="11">
        <v>4124</v>
      </c>
      <c r="F102" s="14">
        <f t="shared" si="13"/>
        <v>0.67253750815394653</v>
      </c>
      <c r="G102" s="14">
        <f t="shared" si="12"/>
        <v>0.22419135634683338</v>
      </c>
    </row>
    <row r="103" spans="1:7" ht="27" customHeight="1" outlineLevel="3" x14ac:dyDescent="0.25">
      <c r="A103" s="69" t="s">
        <v>16</v>
      </c>
      <c r="B103" s="11">
        <v>3000</v>
      </c>
      <c r="C103" s="11">
        <v>3000</v>
      </c>
      <c r="D103" s="12"/>
      <c r="E103" s="12"/>
      <c r="F103" s="14">
        <f t="shared" si="13"/>
        <v>0</v>
      </c>
      <c r="G103" s="14">
        <f t="shared" si="12"/>
        <v>0</v>
      </c>
    </row>
    <row r="104" spans="1:7" s="17" customFormat="1" ht="16.5" customHeight="1" outlineLevel="2" x14ac:dyDescent="0.2">
      <c r="A104" s="83" t="s">
        <v>30</v>
      </c>
      <c r="B104" s="9">
        <v>17094288</v>
      </c>
      <c r="C104" s="9">
        <v>6974381</v>
      </c>
      <c r="D104" s="9">
        <v>6622366.6799999997</v>
      </c>
      <c r="E104" s="9">
        <v>6622366.6799999997</v>
      </c>
      <c r="F104" s="16">
        <f t="shared" si="13"/>
        <v>0.94952751792596357</v>
      </c>
      <c r="G104" s="16">
        <f t="shared" si="12"/>
        <v>0.38740231122817165</v>
      </c>
    </row>
    <row r="105" spans="1:7" ht="13.5" customHeight="1" outlineLevel="3" x14ac:dyDescent="0.25">
      <c r="A105" s="69" t="s">
        <v>9</v>
      </c>
      <c r="B105" s="11">
        <v>12422401</v>
      </c>
      <c r="C105" s="11">
        <v>4940000</v>
      </c>
      <c r="D105" s="11">
        <v>4939514.34</v>
      </c>
      <c r="E105" s="11">
        <v>4939514.34</v>
      </c>
      <c r="F105" s="14">
        <f t="shared" si="13"/>
        <v>0.9999016882591093</v>
      </c>
      <c r="G105" s="14">
        <f t="shared" si="12"/>
        <v>0.39762959994609737</v>
      </c>
    </row>
    <row r="106" spans="1:7" ht="13.5" customHeight="1" outlineLevel="3" x14ac:dyDescent="0.25">
      <c r="A106" s="69" t="s">
        <v>10</v>
      </c>
      <c r="B106" s="11">
        <v>2732928</v>
      </c>
      <c r="C106" s="11">
        <v>1086800</v>
      </c>
      <c r="D106" s="11">
        <v>1086800</v>
      </c>
      <c r="E106" s="11">
        <v>1086800</v>
      </c>
      <c r="F106" s="14">
        <f t="shared" si="13"/>
        <v>1</v>
      </c>
      <c r="G106" s="14">
        <f t="shared" si="12"/>
        <v>0.39766872746007215</v>
      </c>
    </row>
    <row r="107" spans="1:7" ht="13.5" customHeight="1" outlineLevel="3" x14ac:dyDescent="0.25">
      <c r="A107" s="69" t="s">
        <v>11</v>
      </c>
      <c r="B107" s="11">
        <v>25228</v>
      </c>
      <c r="C107" s="11">
        <v>25228</v>
      </c>
      <c r="D107" s="12"/>
      <c r="E107" s="12"/>
      <c r="F107" s="14">
        <f t="shared" si="13"/>
        <v>0</v>
      </c>
      <c r="G107" s="14">
        <f t="shared" si="12"/>
        <v>0</v>
      </c>
    </row>
    <row r="108" spans="1:7" ht="13.5" customHeight="1" outlineLevel="3" x14ac:dyDescent="0.25">
      <c r="A108" s="69" t="s">
        <v>29</v>
      </c>
      <c r="B108" s="11">
        <v>5228</v>
      </c>
      <c r="C108" s="11">
        <v>5228</v>
      </c>
      <c r="D108" s="12"/>
      <c r="E108" s="12"/>
      <c r="F108" s="14">
        <f t="shared" si="13"/>
        <v>0</v>
      </c>
      <c r="G108" s="14">
        <f t="shared" si="12"/>
        <v>0</v>
      </c>
    </row>
    <row r="109" spans="1:7" ht="13.5" customHeight="1" outlineLevel="3" x14ac:dyDescent="0.25">
      <c r="A109" s="69" t="s">
        <v>12</v>
      </c>
      <c r="B109" s="11">
        <v>400585</v>
      </c>
      <c r="C109" s="11">
        <v>322985</v>
      </c>
      <c r="D109" s="11">
        <v>8980</v>
      </c>
      <c r="E109" s="11">
        <v>8980</v>
      </c>
      <c r="F109" s="14">
        <f t="shared" si="13"/>
        <v>2.7803148753038066E-2</v>
      </c>
      <c r="G109" s="14">
        <f t="shared" si="12"/>
        <v>2.2417214823320892E-2</v>
      </c>
    </row>
    <row r="110" spans="1:7" ht="13.5" customHeight="1" outlineLevel="3" x14ac:dyDescent="0.25">
      <c r="A110" s="69" t="s">
        <v>13</v>
      </c>
      <c r="B110" s="11">
        <v>682100</v>
      </c>
      <c r="C110" s="11">
        <v>305701</v>
      </c>
      <c r="D110" s="11">
        <v>305699.03000000003</v>
      </c>
      <c r="E110" s="11">
        <v>305699.03000000003</v>
      </c>
      <c r="F110" s="14">
        <f t="shared" si="13"/>
        <v>0.99999355579471449</v>
      </c>
      <c r="G110" s="14">
        <f t="shared" si="12"/>
        <v>0.44817333235595957</v>
      </c>
    </row>
    <row r="111" spans="1:7" ht="13.5" customHeight="1" outlineLevel="3" x14ac:dyDescent="0.25">
      <c r="A111" s="69" t="s">
        <v>14</v>
      </c>
      <c r="B111" s="11">
        <v>159318</v>
      </c>
      <c r="C111" s="11">
        <v>50439</v>
      </c>
      <c r="D111" s="11">
        <v>46833.34</v>
      </c>
      <c r="E111" s="11">
        <v>46833.34</v>
      </c>
      <c r="F111" s="14">
        <f t="shared" si="13"/>
        <v>0.92851444318880227</v>
      </c>
      <c r="G111" s="14">
        <f t="shared" si="12"/>
        <v>0.29396138540529004</v>
      </c>
    </row>
    <row r="112" spans="1:7" ht="13.5" customHeight="1" outlineLevel="3" x14ac:dyDescent="0.25">
      <c r="A112" s="69" t="s">
        <v>15</v>
      </c>
      <c r="B112" s="11">
        <v>642500</v>
      </c>
      <c r="C112" s="11">
        <v>230000</v>
      </c>
      <c r="D112" s="11">
        <v>228564.71</v>
      </c>
      <c r="E112" s="11">
        <v>228564.71</v>
      </c>
      <c r="F112" s="14">
        <f t="shared" si="13"/>
        <v>0.99375960869565216</v>
      </c>
      <c r="G112" s="14">
        <f t="shared" si="12"/>
        <v>0.35574273929961087</v>
      </c>
    </row>
    <row r="113" spans="1:7" ht="13.5" customHeight="1" outlineLevel="3" x14ac:dyDescent="0.25">
      <c r="A113" s="69" t="s">
        <v>26</v>
      </c>
      <c r="B113" s="11">
        <v>24000</v>
      </c>
      <c r="C113" s="11">
        <v>8000</v>
      </c>
      <c r="D113" s="11">
        <v>5975.26</v>
      </c>
      <c r="E113" s="11">
        <v>5975.26</v>
      </c>
      <c r="F113" s="14">
        <f t="shared" si="13"/>
        <v>0.74690750000000006</v>
      </c>
      <c r="G113" s="14">
        <f t="shared" si="12"/>
        <v>0.24896916666666669</v>
      </c>
    </row>
    <row r="114" spans="1:7" s="17" customFormat="1" ht="18" customHeight="1" outlineLevel="2" x14ac:dyDescent="0.2">
      <c r="A114" s="83" t="s">
        <v>31</v>
      </c>
      <c r="B114" s="9">
        <v>12987548</v>
      </c>
      <c r="C114" s="9">
        <v>4713335</v>
      </c>
      <c r="D114" s="9">
        <v>4106162.3</v>
      </c>
      <c r="E114" s="9">
        <v>4106162.3</v>
      </c>
      <c r="F114" s="16">
        <f t="shared" si="13"/>
        <v>0.8711798121712121</v>
      </c>
      <c r="G114" s="16">
        <f t="shared" si="12"/>
        <v>0.3161614725119784</v>
      </c>
    </row>
    <row r="115" spans="1:7" ht="14.25" customHeight="1" outlineLevel="3" x14ac:dyDescent="0.25">
      <c r="A115" s="69" t="s">
        <v>9</v>
      </c>
      <c r="B115" s="11">
        <v>7977155</v>
      </c>
      <c r="C115" s="11">
        <v>2482400</v>
      </c>
      <c r="D115" s="11">
        <v>2446428.2000000002</v>
      </c>
      <c r="E115" s="11">
        <v>2446428.2000000002</v>
      </c>
      <c r="F115" s="14">
        <f t="shared" si="13"/>
        <v>0.9855092652271995</v>
      </c>
      <c r="G115" s="14">
        <f t="shared" si="12"/>
        <v>0.3066792860361871</v>
      </c>
    </row>
    <row r="116" spans="1:7" ht="14.25" customHeight="1" outlineLevel="3" x14ac:dyDescent="0.25">
      <c r="A116" s="69" t="s">
        <v>10</v>
      </c>
      <c r="B116" s="11">
        <v>1754973</v>
      </c>
      <c r="C116" s="11">
        <v>546000</v>
      </c>
      <c r="D116" s="11">
        <v>545025.14</v>
      </c>
      <c r="E116" s="11">
        <v>545025.14</v>
      </c>
      <c r="F116" s="14">
        <f t="shared" si="13"/>
        <v>0.99821454212454219</v>
      </c>
      <c r="G116" s="14">
        <f t="shared" si="12"/>
        <v>0.31056041318014582</v>
      </c>
    </row>
    <row r="117" spans="1:7" ht="14.25" customHeight="1" outlineLevel="3" x14ac:dyDescent="0.25">
      <c r="A117" s="69" t="s">
        <v>11</v>
      </c>
      <c r="B117" s="11">
        <v>150000</v>
      </c>
      <c r="C117" s="11">
        <v>150000</v>
      </c>
      <c r="D117" s="11">
        <v>149999.47</v>
      </c>
      <c r="E117" s="11">
        <v>149999.47</v>
      </c>
      <c r="F117" s="14">
        <f t="shared" si="13"/>
        <v>0.99999646666666664</v>
      </c>
      <c r="G117" s="14">
        <f t="shared" si="12"/>
        <v>0.99999646666666664</v>
      </c>
    </row>
    <row r="118" spans="1:7" ht="14.25" customHeight="1" outlineLevel="3" x14ac:dyDescent="0.25">
      <c r="A118" s="69" t="s">
        <v>34</v>
      </c>
      <c r="B118" s="11">
        <v>449065</v>
      </c>
      <c r="C118" s="11">
        <v>169500</v>
      </c>
      <c r="D118" s="11">
        <v>111643.23</v>
      </c>
      <c r="E118" s="11">
        <v>111643.23</v>
      </c>
      <c r="F118" s="14">
        <f t="shared" si="13"/>
        <v>0.6586621238938053</v>
      </c>
      <c r="G118" s="14">
        <f t="shared" si="12"/>
        <v>0.24861262846135859</v>
      </c>
    </row>
    <row r="119" spans="1:7" ht="14.25" customHeight="1" outlineLevel="3" x14ac:dyDescent="0.25">
      <c r="A119" s="69" t="s">
        <v>12</v>
      </c>
      <c r="B119" s="11">
        <v>180000</v>
      </c>
      <c r="C119" s="11">
        <v>65000</v>
      </c>
      <c r="D119" s="11">
        <v>52580.02</v>
      </c>
      <c r="E119" s="11">
        <v>52580.02</v>
      </c>
      <c r="F119" s="14">
        <f t="shared" si="13"/>
        <v>0.8089233846153846</v>
      </c>
      <c r="G119" s="14">
        <f t="shared" si="12"/>
        <v>0.29211122222222219</v>
      </c>
    </row>
    <row r="120" spans="1:7" ht="14.25" customHeight="1" outlineLevel="3" x14ac:dyDescent="0.25">
      <c r="A120" s="69" t="s">
        <v>13</v>
      </c>
      <c r="B120" s="11">
        <v>1716615</v>
      </c>
      <c r="C120" s="11">
        <v>927867</v>
      </c>
      <c r="D120" s="11">
        <v>470375.8</v>
      </c>
      <c r="E120" s="11">
        <v>470375.8</v>
      </c>
      <c r="F120" s="14">
        <f t="shared" si="13"/>
        <v>0.50694312870271274</v>
      </c>
      <c r="G120" s="14">
        <f t="shared" si="12"/>
        <v>0.27401356739863042</v>
      </c>
    </row>
    <row r="121" spans="1:7" ht="14.25" customHeight="1" outlineLevel="3" x14ac:dyDescent="0.25">
      <c r="A121" s="69" t="s">
        <v>14</v>
      </c>
      <c r="B121" s="11">
        <v>106988</v>
      </c>
      <c r="C121" s="11">
        <v>33332</v>
      </c>
      <c r="D121" s="11">
        <v>26162.28</v>
      </c>
      <c r="E121" s="11">
        <v>26162.28</v>
      </c>
      <c r="F121" s="14">
        <f t="shared" si="13"/>
        <v>0.78489979599183968</v>
      </c>
      <c r="G121" s="14">
        <f t="shared" si="12"/>
        <v>0.24453471417355216</v>
      </c>
    </row>
    <row r="122" spans="1:7" ht="14.25" customHeight="1" outlineLevel="3" x14ac:dyDescent="0.25">
      <c r="A122" s="69" t="s">
        <v>15</v>
      </c>
      <c r="B122" s="11">
        <v>620000</v>
      </c>
      <c r="C122" s="11">
        <v>327000</v>
      </c>
      <c r="D122" s="11">
        <v>296988.84999999998</v>
      </c>
      <c r="E122" s="11">
        <v>296988.84999999998</v>
      </c>
      <c r="F122" s="14">
        <f t="shared" si="13"/>
        <v>0.90822278287461766</v>
      </c>
      <c r="G122" s="14">
        <f t="shared" si="12"/>
        <v>0.47901427419354836</v>
      </c>
    </row>
    <row r="123" spans="1:7" ht="14.25" customHeight="1" outlineLevel="3" x14ac:dyDescent="0.25">
      <c r="A123" s="69" t="s">
        <v>26</v>
      </c>
      <c r="B123" s="11">
        <v>30752</v>
      </c>
      <c r="C123" s="11">
        <v>10236</v>
      </c>
      <c r="D123" s="11">
        <v>6959.31</v>
      </c>
      <c r="E123" s="11">
        <v>6959.31</v>
      </c>
      <c r="F123" s="14">
        <f t="shared" si="13"/>
        <v>0.67988569753810091</v>
      </c>
      <c r="G123" s="14">
        <f t="shared" si="12"/>
        <v>0.22630430541103019</v>
      </c>
    </row>
    <row r="124" spans="1:7" ht="27" customHeight="1" outlineLevel="3" x14ac:dyDescent="0.25">
      <c r="A124" s="69" t="s">
        <v>16</v>
      </c>
      <c r="B124" s="11">
        <v>2000</v>
      </c>
      <c r="C124" s="11">
        <v>2000</v>
      </c>
      <c r="D124" s="12"/>
      <c r="E124" s="12"/>
      <c r="F124" s="14">
        <f t="shared" si="13"/>
        <v>0</v>
      </c>
      <c r="G124" s="14">
        <f t="shared" si="12"/>
        <v>0</v>
      </c>
    </row>
    <row r="125" spans="1:7" s="17" customFormat="1" ht="24.75" customHeight="1" outlineLevel="2" x14ac:dyDescent="0.2">
      <c r="A125" s="83" t="s">
        <v>23</v>
      </c>
      <c r="B125" s="9">
        <v>1170136447</v>
      </c>
      <c r="C125" s="9">
        <f>SUM(C126:C137)</f>
        <v>385661113</v>
      </c>
      <c r="D125" s="9">
        <v>355801349.89999998</v>
      </c>
      <c r="E125" s="9">
        <v>354094475.83999997</v>
      </c>
      <c r="F125" s="16">
        <f t="shared" si="13"/>
        <v>0.92257512595002023</v>
      </c>
      <c r="G125" s="16">
        <f t="shared" si="12"/>
        <v>0.30406825700729584</v>
      </c>
    </row>
    <row r="126" spans="1:7" ht="15" customHeight="1" outlineLevel="3" x14ac:dyDescent="0.25">
      <c r="A126" s="69" t="s">
        <v>9</v>
      </c>
      <c r="B126" s="11">
        <v>791988100</v>
      </c>
      <c r="C126" s="11">
        <f>252877014-C115-C105-C94</f>
        <v>242974614</v>
      </c>
      <c r="D126" s="11">
        <v>242810792.65000001</v>
      </c>
      <c r="E126" s="11">
        <v>242810792.65000001</v>
      </c>
      <c r="F126" s="14">
        <f t="shared" si="13"/>
        <v>0.99932576762937053</v>
      </c>
      <c r="G126" s="14">
        <f t="shared" si="12"/>
        <v>0.30658389014935955</v>
      </c>
    </row>
    <row r="127" spans="1:7" ht="15" customHeight="1" outlineLevel="3" x14ac:dyDescent="0.25">
      <c r="A127" s="69" t="s">
        <v>10</v>
      </c>
      <c r="B127" s="11">
        <v>174237388</v>
      </c>
      <c r="C127" s="11">
        <f>55576484-C116-C106-C95</f>
        <v>53398084</v>
      </c>
      <c r="D127" s="11">
        <v>53141938.340000004</v>
      </c>
      <c r="E127" s="11">
        <v>53141938.340000004</v>
      </c>
      <c r="F127" s="14">
        <f t="shared" si="13"/>
        <v>0.99520309268025431</v>
      </c>
      <c r="G127" s="14">
        <f t="shared" si="12"/>
        <v>0.30499733122721057</v>
      </c>
    </row>
    <row r="128" spans="1:7" ht="15" customHeight="1" outlineLevel="3" x14ac:dyDescent="0.25">
      <c r="A128" s="69" t="s">
        <v>11</v>
      </c>
      <c r="B128" s="11">
        <v>9723672</v>
      </c>
      <c r="C128" s="11">
        <f>1835256-C117-C107-C96</f>
        <v>1660028</v>
      </c>
      <c r="D128" s="11">
        <v>1659446.1</v>
      </c>
      <c r="E128" s="11">
        <v>1659436.1</v>
      </c>
      <c r="F128" s="14">
        <f t="shared" si="13"/>
        <v>0.99964946374398511</v>
      </c>
      <c r="G128" s="14">
        <f t="shared" si="12"/>
        <v>0.17066043568725889</v>
      </c>
    </row>
    <row r="129" spans="1:8" ht="15" customHeight="1" outlineLevel="3" x14ac:dyDescent="0.25">
      <c r="A129" s="69" t="s">
        <v>29</v>
      </c>
      <c r="B129" s="11">
        <v>493221</v>
      </c>
      <c r="C129" s="11">
        <f>10445-C108-C97</f>
        <v>0</v>
      </c>
      <c r="D129" s="12"/>
      <c r="E129" s="12"/>
      <c r="F129" s="14">
        <v>0</v>
      </c>
      <c r="G129" s="14">
        <f t="shared" si="12"/>
        <v>0</v>
      </c>
    </row>
    <row r="130" spans="1:8" ht="15" customHeight="1" outlineLevel="3" x14ac:dyDescent="0.25">
      <c r="A130" s="69" t="s">
        <v>12</v>
      </c>
      <c r="B130" s="11">
        <v>86653407</v>
      </c>
      <c r="C130" s="11">
        <f>27954140-C98-C109-C119</f>
        <v>27466155</v>
      </c>
      <c r="D130" s="11">
        <v>14898851.5</v>
      </c>
      <c r="E130" s="11">
        <v>14898251.5</v>
      </c>
      <c r="F130" s="14">
        <f t="shared" ref="F130:F136" si="14">D130/C130</f>
        <v>0.54244401882971971</v>
      </c>
      <c r="G130" s="14">
        <f t="shared" si="12"/>
        <v>0.17193613056668389</v>
      </c>
    </row>
    <row r="131" spans="1:8" ht="15" customHeight="1" outlineLevel="3" x14ac:dyDescent="0.25">
      <c r="A131" s="69" t="s">
        <v>13</v>
      </c>
      <c r="B131" s="11">
        <v>67195412</v>
      </c>
      <c r="C131" s="11">
        <f>46367638-C99-C110-C120</f>
        <v>44854070</v>
      </c>
      <c r="D131" s="11">
        <v>30536787.399999999</v>
      </c>
      <c r="E131" s="11">
        <v>30536787.399999999</v>
      </c>
      <c r="F131" s="14">
        <f t="shared" si="14"/>
        <v>0.68080304418305848</v>
      </c>
      <c r="G131" s="14">
        <f t="shared" si="12"/>
        <v>0.45444750602913186</v>
      </c>
    </row>
    <row r="132" spans="1:8" ht="15" customHeight="1" outlineLevel="3" x14ac:dyDescent="0.25">
      <c r="A132" s="69" t="s">
        <v>14</v>
      </c>
      <c r="B132" s="11">
        <v>8230793</v>
      </c>
      <c r="C132" s="11">
        <f>2891454-C100-C111-C121</f>
        <v>2791683</v>
      </c>
      <c r="D132" s="11">
        <v>2708147.76</v>
      </c>
      <c r="E132" s="11">
        <v>2708147.76</v>
      </c>
      <c r="F132" s="14">
        <f t="shared" si="14"/>
        <v>0.97007710402649572</v>
      </c>
      <c r="G132" s="14">
        <f t="shared" si="12"/>
        <v>0.32902634776503309</v>
      </c>
    </row>
    <row r="133" spans="1:8" ht="15" customHeight="1" outlineLevel="3" x14ac:dyDescent="0.25">
      <c r="A133" s="69" t="s">
        <v>15</v>
      </c>
      <c r="B133" s="11">
        <v>27175646</v>
      </c>
      <c r="C133" s="11">
        <f>12249860-C101-C112-C122</f>
        <v>11542860</v>
      </c>
      <c r="D133" s="11">
        <v>9694750.8499999996</v>
      </c>
      <c r="E133" s="11">
        <v>7988486.79</v>
      </c>
      <c r="F133" s="14">
        <f t="shared" si="14"/>
        <v>0.83989157366545208</v>
      </c>
      <c r="G133" s="14">
        <f t="shared" si="12"/>
        <v>0.3567440807110896</v>
      </c>
    </row>
    <row r="134" spans="1:8" ht="15" customHeight="1" outlineLevel="3" x14ac:dyDescent="0.25">
      <c r="A134" s="69" t="s">
        <v>32</v>
      </c>
      <c r="B134" s="11">
        <v>306700</v>
      </c>
      <c r="C134" s="11">
        <f>109921</f>
        <v>109921</v>
      </c>
      <c r="D134" s="11">
        <v>22880.799999999999</v>
      </c>
      <c r="E134" s="11">
        <v>22880.799999999999</v>
      </c>
      <c r="F134" s="14">
        <f t="shared" si="14"/>
        <v>0.20815676713275896</v>
      </c>
      <c r="G134" s="14">
        <f t="shared" si="12"/>
        <v>7.4603195304858164E-2</v>
      </c>
    </row>
    <row r="135" spans="1:8" ht="15" customHeight="1" outlineLevel="3" x14ac:dyDescent="0.25">
      <c r="A135" s="69" t="s">
        <v>26</v>
      </c>
      <c r="B135" s="11">
        <v>1496108</v>
      </c>
      <c r="C135" s="11">
        <f>652066-C102-C113-C123</f>
        <v>627698</v>
      </c>
      <c r="D135" s="11">
        <v>327754.5</v>
      </c>
      <c r="E135" s="11">
        <v>327754.5</v>
      </c>
      <c r="F135" s="14">
        <f t="shared" si="14"/>
        <v>0.52215316919920085</v>
      </c>
      <c r="G135" s="14">
        <f t="shared" si="12"/>
        <v>0.21907141730409838</v>
      </c>
    </row>
    <row r="136" spans="1:8" ht="27.75" customHeight="1" outlineLevel="3" x14ac:dyDescent="0.25">
      <c r="A136" s="69" t="s">
        <v>16</v>
      </c>
      <c r="B136" s="11">
        <v>236000</v>
      </c>
      <c r="C136" s="11">
        <f>241000-C103-C124</f>
        <v>236000</v>
      </c>
      <c r="D136" s="12"/>
      <c r="E136" s="12"/>
      <c r="F136" s="14">
        <f t="shared" si="14"/>
        <v>0</v>
      </c>
      <c r="G136" s="14">
        <f t="shared" si="12"/>
        <v>0</v>
      </c>
    </row>
    <row r="137" spans="1:8" ht="27" customHeight="1" outlineLevel="3" x14ac:dyDescent="0.25">
      <c r="A137" s="69" t="s">
        <v>56</v>
      </c>
      <c r="B137" s="11">
        <v>2400000</v>
      </c>
      <c r="C137" s="11"/>
      <c r="D137" s="12"/>
      <c r="E137" s="12"/>
      <c r="F137" s="14">
        <v>0</v>
      </c>
      <c r="G137" s="14">
        <f t="shared" si="12"/>
        <v>0</v>
      </c>
    </row>
    <row r="138" spans="1:8" s="18" customFormat="1" ht="39" customHeight="1" outlineLevel="1" x14ac:dyDescent="0.2">
      <c r="A138" s="70" t="s">
        <v>66</v>
      </c>
      <c r="B138" s="22">
        <f>B139+B150+B162+B174+B186</f>
        <v>1297769726</v>
      </c>
      <c r="C138" s="22">
        <f t="shared" ref="C138:E138" si="15">C139+C150+C162+C174+C186</f>
        <v>453795562</v>
      </c>
      <c r="D138" s="22">
        <f t="shared" si="15"/>
        <v>386560017.14999998</v>
      </c>
      <c r="E138" s="22">
        <f t="shared" si="15"/>
        <v>383739901.95000005</v>
      </c>
      <c r="F138" s="23">
        <f>D138/C138</f>
        <v>0.85183736801286736</v>
      </c>
      <c r="G138" s="23">
        <f t="shared" si="12"/>
        <v>0.29786487495085856</v>
      </c>
      <c r="H138" s="47"/>
    </row>
    <row r="139" spans="1:8" s="17" customFormat="1" ht="25.5" customHeight="1" outlineLevel="2" x14ac:dyDescent="0.2">
      <c r="A139" s="83" t="s">
        <v>28</v>
      </c>
      <c r="B139" s="9">
        <v>44547010</v>
      </c>
      <c r="C139" s="9">
        <v>15464940</v>
      </c>
      <c r="D139" s="9">
        <v>13855910.050000001</v>
      </c>
      <c r="E139" s="9">
        <v>13852660.050000001</v>
      </c>
      <c r="F139" s="16">
        <f>D139/C139</f>
        <v>0.89595627593770166</v>
      </c>
      <c r="G139" s="16">
        <f t="shared" si="12"/>
        <v>0.3110401809234784</v>
      </c>
    </row>
    <row r="140" spans="1:8" ht="15" customHeight="1" outlineLevel="3" x14ac:dyDescent="0.25">
      <c r="A140" s="69" t="s">
        <v>9</v>
      </c>
      <c r="B140" s="11">
        <v>30642200</v>
      </c>
      <c r="C140" s="11">
        <v>10000000</v>
      </c>
      <c r="D140" s="11">
        <v>9991450.7699999996</v>
      </c>
      <c r="E140" s="11">
        <v>9991450.7699999996</v>
      </c>
      <c r="F140" s="14">
        <f>D140/C140</f>
        <v>0.99914507699999999</v>
      </c>
      <c r="G140" s="14">
        <f t="shared" si="12"/>
        <v>0.32606832309690553</v>
      </c>
    </row>
    <row r="141" spans="1:8" ht="15" customHeight="1" outlineLevel="3" x14ac:dyDescent="0.25">
      <c r="A141" s="69" t="s">
        <v>10</v>
      </c>
      <c r="B141" s="11">
        <v>6741284</v>
      </c>
      <c r="C141" s="11">
        <v>2200000</v>
      </c>
      <c r="D141" s="11">
        <v>2033304.28</v>
      </c>
      <c r="E141" s="11">
        <v>2033304.28</v>
      </c>
      <c r="F141" s="14">
        <f>D141/C141</f>
        <v>0.92422921818181825</v>
      </c>
      <c r="G141" s="14">
        <f t="shared" si="12"/>
        <v>0.30161973297668515</v>
      </c>
    </row>
    <row r="142" spans="1:8" ht="15" customHeight="1" outlineLevel="3" x14ac:dyDescent="0.25">
      <c r="A142" s="69" t="s">
        <v>11</v>
      </c>
      <c r="B142" s="11">
        <v>700000</v>
      </c>
      <c r="C142" s="11">
        <v>700000</v>
      </c>
      <c r="D142" s="11">
        <v>148434.04</v>
      </c>
      <c r="E142" s="11">
        <v>148434.04</v>
      </c>
      <c r="F142" s="14">
        <f>D142/C142</f>
        <v>0.21204862857142859</v>
      </c>
      <c r="G142" s="14">
        <f t="shared" si="12"/>
        <v>0.21204862857142859</v>
      </c>
    </row>
    <row r="143" spans="1:8" ht="15" customHeight="1" outlineLevel="3" x14ac:dyDescent="0.25">
      <c r="A143" s="69" t="s">
        <v>29</v>
      </c>
      <c r="B143" s="11">
        <v>33000</v>
      </c>
      <c r="C143" s="12"/>
      <c r="D143" s="12"/>
      <c r="E143" s="12"/>
      <c r="F143" s="14">
        <v>0</v>
      </c>
      <c r="G143" s="14">
        <f t="shared" si="12"/>
        <v>0</v>
      </c>
    </row>
    <row r="144" spans="1:8" ht="15" customHeight="1" outlineLevel="3" x14ac:dyDescent="0.25">
      <c r="A144" s="69" t="s">
        <v>12</v>
      </c>
      <c r="B144" s="11">
        <v>2200000</v>
      </c>
      <c r="C144" s="11">
        <v>600000</v>
      </c>
      <c r="D144" s="11">
        <v>82704.95</v>
      </c>
      <c r="E144" s="11">
        <v>79454.95</v>
      </c>
      <c r="F144" s="14">
        <f t="shared" ref="F144:F153" si="16">D144/C144</f>
        <v>0.13784158333333332</v>
      </c>
      <c r="G144" s="14">
        <f t="shared" si="12"/>
        <v>3.7593159090909087E-2</v>
      </c>
    </row>
    <row r="145" spans="1:7" ht="15" customHeight="1" outlineLevel="3" x14ac:dyDescent="0.25">
      <c r="A145" s="69" t="s">
        <v>13</v>
      </c>
      <c r="B145" s="11">
        <v>2200000</v>
      </c>
      <c r="C145" s="11">
        <v>1390000</v>
      </c>
      <c r="D145" s="11">
        <v>1249339.6100000001</v>
      </c>
      <c r="E145" s="11">
        <v>1249339.6100000001</v>
      </c>
      <c r="F145" s="14">
        <f t="shared" si="16"/>
        <v>0.89880547482014395</v>
      </c>
      <c r="G145" s="14">
        <f t="shared" si="12"/>
        <v>0.56788164090909099</v>
      </c>
    </row>
    <row r="146" spans="1:7" ht="15" customHeight="1" outlineLevel="3" x14ac:dyDescent="0.25">
      <c r="A146" s="69" t="s">
        <v>14</v>
      </c>
      <c r="B146" s="11">
        <v>130650</v>
      </c>
      <c r="C146" s="11">
        <v>48000</v>
      </c>
      <c r="D146" s="11">
        <v>47885.89</v>
      </c>
      <c r="E146" s="11">
        <v>47885.89</v>
      </c>
      <c r="F146" s="14">
        <f t="shared" si="16"/>
        <v>0.99762270833333333</v>
      </c>
      <c r="G146" s="14">
        <f t="shared" si="12"/>
        <v>0.36652039800995023</v>
      </c>
    </row>
    <row r="147" spans="1:7" ht="15" customHeight="1" outlineLevel="3" x14ac:dyDescent="0.25">
      <c r="A147" s="69" t="s">
        <v>15</v>
      </c>
      <c r="B147" s="11">
        <v>1874440</v>
      </c>
      <c r="C147" s="11">
        <v>513940</v>
      </c>
      <c r="D147" s="11">
        <v>294838.51</v>
      </c>
      <c r="E147" s="11">
        <v>294838.51</v>
      </c>
      <c r="F147" s="14">
        <f t="shared" si="16"/>
        <v>0.5736827450675176</v>
      </c>
      <c r="G147" s="14">
        <f t="shared" si="12"/>
        <v>0.15729418386291372</v>
      </c>
    </row>
    <row r="148" spans="1:7" ht="15" customHeight="1" outlineLevel="3" x14ac:dyDescent="0.25">
      <c r="A148" s="69" t="s">
        <v>26</v>
      </c>
      <c r="B148" s="11">
        <v>22436</v>
      </c>
      <c r="C148" s="11">
        <v>10000</v>
      </c>
      <c r="D148" s="11">
        <v>7952</v>
      </c>
      <c r="E148" s="11">
        <v>7952</v>
      </c>
      <c r="F148" s="14">
        <f t="shared" si="16"/>
        <v>0.79520000000000002</v>
      </c>
      <c r="G148" s="14">
        <f t="shared" si="12"/>
        <v>0.35443037974683544</v>
      </c>
    </row>
    <row r="149" spans="1:7" ht="27.75" customHeight="1" outlineLevel="3" x14ac:dyDescent="0.25">
      <c r="A149" s="69" t="s">
        <v>16</v>
      </c>
      <c r="B149" s="11">
        <v>3000</v>
      </c>
      <c r="C149" s="11">
        <v>3000</v>
      </c>
      <c r="D149" s="12"/>
      <c r="E149" s="12"/>
      <c r="F149" s="14">
        <f t="shared" si="16"/>
        <v>0</v>
      </c>
      <c r="G149" s="14">
        <f t="shared" si="12"/>
        <v>0</v>
      </c>
    </row>
    <row r="150" spans="1:7" s="17" customFormat="1" ht="19.5" customHeight="1" outlineLevel="2" x14ac:dyDescent="0.2">
      <c r="A150" s="83" t="s">
        <v>33</v>
      </c>
      <c r="B150" s="9">
        <v>58818452</v>
      </c>
      <c r="C150" s="9">
        <v>19581944</v>
      </c>
      <c r="D150" s="9">
        <v>17673485.16</v>
      </c>
      <c r="E150" s="9">
        <v>17673485.16</v>
      </c>
      <c r="F150" s="16">
        <f t="shared" si="16"/>
        <v>0.90253986836036304</v>
      </c>
      <c r="G150" s="16">
        <f t="shared" si="12"/>
        <v>0.3004751835359421</v>
      </c>
    </row>
    <row r="151" spans="1:7" ht="14.25" customHeight="1" outlineLevel="3" x14ac:dyDescent="0.25">
      <c r="A151" s="69" t="s">
        <v>9</v>
      </c>
      <c r="B151" s="11">
        <v>38915400</v>
      </c>
      <c r="C151" s="11">
        <v>12600000</v>
      </c>
      <c r="D151" s="11">
        <v>12599222.68</v>
      </c>
      <c r="E151" s="11">
        <v>12599222.68</v>
      </c>
      <c r="F151" s="14">
        <f t="shared" si="16"/>
        <v>0.99993830793650795</v>
      </c>
      <c r="G151" s="14">
        <f t="shared" si="12"/>
        <v>0.32375930043119178</v>
      </c>
    </row>
    <row r="152" spans="1:7" ht="14.25" customHeight="1" outlineLevel="3" x14ac:dyDescent="0.25">
      <c r="A152" s="69" t="s">
        <v>10</v>
      </c>
      <c r="B152" s="11">
        <v>8561388</v>
      </c>
      <c r="C152" s="11">
        <v>2772000</v>
      </c>
      <c r="D152" s="11">
        <v>2750814.71</v>
      </c>
      <c r="E152" s="11">
        <v>2750814.71</v>
      </c>
      <c r="F152" s="14">
        <f t="shared" si="16"/>
        <v>0.99235739898989894</v>
      </c>
      <c r="G152" s="14">
        <f t="shared" si="12"/>
        <v>0.32130475922829338</v>
      </c>
    </row>
    <row r="153" spans="1:7" ht="14.25" customHeight="1" outlineLevel="3" x14ac:dyDescent="0.25">
      <c r="A153" s="69" t="s">
        <v>11</v>
      </c>
      <c r="B153" s="11">
        <v>1300000</v>
      </c>
      <c r="C153" s="11">
        <v>525000</v>
      </c>
      <c r="D153" s="11">
        <v>5028</v>
      </c>
      <c r="E153" s="11">
        <v>5028</v>
      </c>
      <c r="F153" s="14">
        <f t="shared" si="16"/>
        <v>9.577142857142857E-3</v>
      </c>
      <c r="G153" s="14">
        <f t="shared" si="12"/>
        <v>3.8676923076923077E-3</v>
      </c>
    </row>
    <row r="154" spans="1:7" ht="14.25" customHeight="1" outlineLevel="3" x14ac:dyDescent="0.25">
      <c r="A154" s="69" t="s">
        <v>29</v>
      </c>
      <c r="B154" s="11">
        <v>43700</v>
      </c>
      <c r="C154" s="12"/>
      <c r="D154" s="12"/>
      <c r="E154" s="12"/>
      <c r="F154" s="14">
        <v>0</v>
      </c>
      <c r="G154" s="14">
        <f t="shared" si="12"/>
        <v>0</v>
      </c>
    </row>
    <row r="155" spans="1:7" ht="14.25" customHeight="1" outlineLevel="3" x14ac:dyDescent="0.25">
      <c r="A155" s="69" t="s">
        <v>34</v>
      </c>
      <c r="B155" s="11">
        <v>953450</v>
      </c>
      <c r="C155" s="11">
        <v>722450</v>
      </c>
      <c r="D155" s="11">
        <v>182350</v>
      </c>
      <c r="E155" s="11">
        <v>182350</v>
      </c>
      <c r="F155" s="14">
        <f t="shared" ref="F155:F165" si="17">D155/C155</f>
        <v>0.25240501072738597</v>
      </c>
      <c r="G155" s="14">
        <f t="shared" si="12"/>
        <v>0.19125281871099692</v>
      </c>
    </row>
    <row r="156" spans="1:7" ht="14.25" customHeight="1" outlineLevel="3" x14ac:dyDescent="0.25">
      <c r="A156" s="69" t="s">
        <v>12</v>
      </c>
      <c r="B156" s="11">
        <v>3800000</v>
      </c>
      <c r="C156" s="11">
        <v>780950</v>
      </c>
      <c r="D156" s="11">
        <v>224391.1</v>
      </c>
      <c r="E156" s="11">
        <v>224391.1</v>
      </c>
      <c r="F156" s="14">
        <f t="shared" si="17"/>
        <v>0.28733094308214358</v>
      </c>
      <c r="G156" s="14">
        <f t="shared" ref="G156:G219" si="18">D156/B156</f>
        <v>5.9050289473684209E-2</v>
      </c>
    </row>
    <row r="157" spans="1:7" ht="14.25" customHeight="1" outlineLevel="3" x14ac:dyDescent="0.25">
      <c r="A157" s="69" t="s">
        <v>13</v>
      </c>
      <c r="B157" s="11">
        <v>1909463</v>
      </c>
      <c r="C157" s="11">
        <v>927914</v>
      </c>
      <c r="D157" s="11">
        <v>744695.28</v>
      </c>
      <c r="E157" s="11">
        <v>744695.28</v>
      </c>
      <c r="F157" s="14">
        <f t="shared" si="17"/>
        <v>0.80254773610485453</v>
      </c>
      <c r="G157" s="14">
        <f t="shared" si="18"/>
        <v>0.39000246666209298</v>
      </c>
    </row>
    <row r="158" spans="1:7" ht="14.25" customHeight="1" outlineLevel="3" x14ac:dyDescent="0.25">
      <c r="A158" s="69" t="s">
        <v>14</v>
      </c>
      <c r="B158" s="11">
        <v>413313</v>
      </c>
      <c r="C158" s="11">
        <v>183950</v>
      </c>
      <c r="D158" s="11">
        <v>164486.35</v>
      </c>
      <c r="E158" s="11">
        <v>164486.35</v>
      </c>
      <c r="F158" s="14">
        <f t="shared" si="17"/>
        <v>0.89419054090785544</v>
      </c>
      <c r="G158" s="14">
        <f t="shared" si="18"/>
        <v>0.39797042435152052</v>
      </c>
    </row>
    <row r="159" spans="1:7" ht="14.25" customHeight="1" outlineLevel="3" x14ac:dyDescent="0.25">
      <c r="A159" s="69" t="s">
        <v>15</v>
      </c>
      <c r="B159" s="11">
        <v>2873700</v>
      </c>
      <c r="C159" s="11">
        <v>1050000</v>
      </c>
      <c r="D159" s="11">
        <v>992103.87</v>
      </c>
      <c r="E159" s="11">
        <v>992103.87</v>
      </c>
      <c r="F159" s="14">
        <f t="shared" si="17"/>
        <v>0.94486082857142861</v>
      </c>
      <c r="G159" s="14">
        <f t="shared" si="18"/>
        <v>0.34523571354003552</v>
      </c>
    </row>
    <row r="160" spans="1:7" ht="14.25" customHeight="1" outlineLevel="3" x14ac:dyDescent="0.25">
      <c r="A160" s="69" t="s">
        <v>26</v>
      </c>
      <c r="B160" s="11">
        <v>45038</v>
      </c>
      <c r="C160" s="11">
        <v>16680</v>
      </c>
      <c r="D160" s="11">
        <v>10393.17</v>
      </c>
      <c r="E160" s="11">
        <v>10393.17</v>
      </c>
      <c r="F160" s="14">
        <f t="shared" si="17"/>
        <v>0.62309172661870504</v>
      </c>
      <c r="G160" s="14">
        <f t="shared" si="18"/>
        <v>0.23076446556241395</v>
      </c>
    </row>
    <row r="161" spans="1:7" ht="27" customHeight="1" outlineLevel="3" x14ac:dyDescent="0.25">
      <c r="A161" s="69" t="s">
        <v>16</v>
      </c>
      <c r="B161" s="11">
        <v>3000</v>
      </c>
      <c r="C161" s="11">
        <v>3000</v>
      </c>
      <c r="D161" s="12"/>
      <c r="E161" s="12"/>
      <c r="F161" s="14">
        <f t="shared" si="17"/>
        <v>0</v>
      </c>
      <c r="G161" s="14">
        <f t="shared" si="18"/>
        <v>0</v>
      </c>
    </row>
    <row r="162" spans="1:7" s="17" customFormat="1" ht="18.75" customHeight="1" outlineLevel="2" x14ac:dyDescent="0.2">
      <c r="A162" s="83" t="s">
        <v>30</v>
      </c>
      <c r="B162" s="9">
        <v>61262209</v>
      </c>
      <c r="C162" s="9">
        <v>24155957</v>
      </c>
      <c r="D162" s="9">
        <v>20796109.32</v>
      </c>
      <c r="E162" s="9">
        <v>20796109.32</v>
      </c>
      <c r="F162" s="16">
        <f t="shared" si="17"/>
        <v>0.86091018128571761</v>
      </c>
      <c r="G162" s="16">
        <f t="shared" si="18"/>
        <v>0.33946065052926838</v>
      </c>
    </row>
    <row r="163" spans="1:7" ht="13.5" customHeight="1" outlineLevel="3" x14ac:dyDescent="0.25">
      <c r="A163" s="69" t="s">
        <v>9</v>
      </c>
      <c r="B163" s="11">
        <v>36379200</v>
      </c>
      <c r="C163" s="11">
        <v>13206680</v>
      </c>
      <c r="D163" s="11">
        <v>13206368.529999999</v>
      </c>
      <c r="E163" s="11">
        <v>13206368.529999999</v>
      </c>
      <c r="F163" s="14">
        <f t="shared" si="17"/>
        <v>0.99997641572295226</v>
      </c>
      <c r="G163" s="14">
        <f t="shared" si="18"/>
        <v>0.36301976211681397</v>
      </c>
    </row>
    <row r="164" spans="1:7" ht="13.5" customHeight="1" outlineLevel="3" x14ac:dyDescent="0.25">
      <c r="A164" s="69" t="s">
        <v>10</v>
      </c>
      <c r="B164" s="11">
        <v>8003424</v>
      </c>
      <c r="C164" s="11">
        <v>2905469</v>
      </c>
      <c r="D164" s="11">
        <v>2905469</v>
      </c>
      <c r="E164" s="11">
        <v>2905469</v>
      </c>
      <c r="F164" s="14">
        <f t="shared" si="17"/>
        <v>1</v>
      </c>
      <c r="G164" s="14">
        <f t="shared" si="18"/>
        <v>0.36302824890946672</v>
      </c>
    </row>
    <row r="165" spans="1:7" ht="13.5" customHeight="1" outlineLevel="3" x14ac:dyDescent="0.25">
      <c r="A165" s="69" t="s">
        <v>11</v>
      </c>
      <c r="B165" s="11">
        <v>1227715</v>
      </c>
      <c r="C165" s="11">
        <v>1227715</v>
      </c>
      <c r="D165" s="11">
        <v>614224.86</v>
      </c>
      <c r="E165" s="11">
        <v>614224.86</v>
      </c>
      <c r="F165" s="14">
        <f t="shared" si="17"/>
        <v>0.50029922253943304</v>
      </c>
      <c r="G165" s="14">
        <f t="shared" si="18"/>
        <v>0.50029922253943304</v>
      </c>
    </row>
    <row r="166" spans="1:7" ht="13.5" customHeight="1" outlineLevel="3" x14ac:dyDescent="0.25">
      <c r="A166" s="69" t="s">
        <v>29</v>
      </c>
      <c r="B166" s="11">
        <v>35213</v>
      </c>
      <c r="C166" s="12"/>
      <c r="D166" s="12"/>
      <c r="E166" s="12"/>
      <c r="F166" s="14">
        <v>0</v>
      </c>
      <c r="G166" s="14">
        <f t="shared" si="18"/>
        <v>0</v>
      </c>
    </row>
    <row r="167" spans="1:7" ht="13.5" customHeight="1" outlineLevel="3" x14ac:dyDescent="0.25">
      <c r="A167" s="69" t="s">
        <v>12</v>
      </c>
      <c r="B167" s="11">
        <v>4506338</v>
      </c>
      <c r="C167" s="11">
        <v>320000</v>
      </c>
      <c r="D167" s="11">
        <v>271703.15999999997</v>
      </c>
      <c r="E167" s="11">
        <v>271703.15999999997</v>
      </c>
      <c r="F167" s="14">
        <f t="shared" ref="F167:F177" si="19">D167/C167</f>
        <v>0.84907237499999988</v>
      </c>
      <c r="G167" s="14">
        <f t="shared" si="18"/>
        <v>6.029355987056452E-2</v>
      </c>
    </row>
    <row r="168" spans="1:7" ht="13.5" customHeight="1" outlineLevel="3" x14ac:dyDescent="0.25">
      <c r="A168" s="69" t="s">
        <v>13</v>
      </c>
      <c r="B168" s="11">
        <v>6837562</v>
      </c>
      <c r="C168" s="11">
        <v>3876493</v>
      </c>
      <c r="D168" s="11">
        <v>2869261.97</v>
      </c>
      <c r="E168" s="11">
        <v>2869261.97</v>
      </c>
      <c r="F168" s="14">
        <f t="shared" si="19"/>
        <v>0.74016952178167228</v>
      </c>
      <c r="G168" s="14">
        <f t="shared" si="18"/>
        <v>0.41963231485140468</v>
      </c>
    </row>
    <row r="169" spans="1:7" ht="13.5" customHeight="1" outlineLevel="3" x14ac:dyDescent="0.25">
      <c r="A169" s="69" t="s">
        <v>14</v>
      </c>
      <c r="B169" s="11">
        <v>467219</v>
      </c>
      <c r="C169" s="11">
        <v>171940</v>
      </c>
      <c r="D169" s="11">
        <v>128847.61</v>
      </c>
      <c r="E169" s="11">
        <v>128847.61</v>
      </c>
      <c r="F169" s="14">
        <f t="shared" si="19"/>
        <v>0.74937542165871818</v>
      </c>
      <c r="G169" s="14">
        <f t="shared" si="18"/>
        <v>0.27577562128252492</v>
      </c>
    </row>
    <row r="170" spans="1:7" ht="13.5" customHeight="1" outlineLevel="3" x14ac:dyDescent="0.25">
      <c r="A170" s="69" t="s">
        <v>15</v>
      </c>
      <c r="B170" s="11">
        <v>2297200</v>
      </c>
      <c r="C170" s="11">
        <v>1037880</v>
      </c>
      <c r="D170" s="11">
        <v>784970.07</v>
      </c>
      <c r="E170" s="11">
        <v>784970.07</v>
      </c>
      <c r="F170" s="14">
        <f t="shared" si="19"/>
        <v>0.75632064400508725</v>
      </c>
      <c r="G170" s="14">
        <f t="shared" si="18"/>
        <v>0.34170732631029077</v>
      </c>
    </row>
    <row r="171" spans="1:7" ht="13.5" customHeight="1" outlineLevel="3" x14ac:dyDescent="0.25">
      <c r="A171" s="69" t="s">
        <v>26</v>
      </c>
      <c r="B171" s="11">
        <v>147838</v>
      </c>
      <c r="C171" s="11">
        <v>49280</v>
      </c>
      <c r="D171" s="11">
        <v>12264.12</v>
      </c>
      <c r="E171" s="11">
        <v>12264.12</v>
      </c>
      <c r="F171" s="14">
        <f t="shared" si="19"/>
        <v>0.24886607142857145</v>
      </c>
      <c r="G171" s="14">
        <f t="shared" si="18"/>
        <v>8.2956479389602142E-2</v>
      </c>
    </row>
    <row r="172" spans="1:7" ht="25.5" customHeight="1" outlineLevel="3" x14ac:dyDescent="0.25">
      <c r="A172" s="69" t="s">
        <v>16</v>
      </c>
      <c r="B172" s="11">
        <v>3000</v>
      </c>
      <c r="C172" s="11">
        <v>3000</v>
      </c>
      <c r="D172" s="11">
        <v>3000</v>
      </c>
      <c r="E172" s="11">
        <v>3000</v>
      </c>
      <c r="F172" s="14">
        <f t="shared" si="19"/>
        <v>1</v>
      </c>
      <c r="G172" s="14">
        <f t="shared" si="18"/>
        <v>1</v>
      </c>
    </row>
    <row r="173" spans="1:7" ht="25.5" customHeight="1" outlineLevel="3" x14ac:dyDescent="0.25">
      <c r="A173" s="69" t="s">
        <v>56</v>
      </c>
      <c r="B173" s="11">
        <v>1357500</v>
      </c>
      <c r="C173" s="11">
        <v>1357500</v>
      </c>
      <c r="D173" s="12"/>
      <c r="E173" s="12"/>
      <c r="F173" s="14">
        <f t="shared" si="19"/>
        <v>0</v>
      </c>
      <c r="G173" s="14">
        <f t="shared" si="18"/>
        <v>0</v>
      </c>
    </row>
    <row r="174" spans="1:7" s="17" customFormat="1" ht="26.25" customHeight="1" outlineLevel="2" x14ac:dyDescent="0.2">
      <c r="A174" s="83" t="s">
        <v>35</v>
      </c>
      <c r="B174" s="9">
        <v>37960952</v>
      </c>
      <c r="C174" s="9">
        <v>15174284</v>
      </c>
      <c r="D174" s="9">
        <v>12574045.439999999</v>
      </c>
      <c r="E174" s="9">
        <v>12574045.439999999</v>
      </c>
      <c r="F174" s="16">
        <f t="shared" si="19"/>
        <v>0.82864176260309874</v>
      </c>
      <c r="G174" s="16">
        <f t="shared" si="18"/>
        <v>0.33123630408426002</v>
      </c>
    </row>
    <row r="175" spans="1:7" ht="13.5" customHeight="1" outlineLevel="3" x14ac:dyDescent="0.25">
      <c r="A175" s="69" t="s">
        <v>9</v>
      </c>
      <c r="B175" s="11">
        <v>23773000</v>
      </c>
      <c r="C175" s="11">
        <v>9000000</v>
      </c>
      <c r="D175" s="11">
        <v>8993665.8800000008</v>
      </c>
      <c r="E175" s="11">
        <v>8993665.8800000008</v>
      </c>
      <c r="F175" s="14">
        <f t="shared" si="19"/>
        <v>0.99929620888888893</v>
      </c>
      <c r="G175" s="14">
        <f t="shared" si="18"/>
        <v>0.37831430109788416</v>
      </c>
    </row>
    <row r="176" spans="1:7" ht="13.5" customHeight="1" outlineLevel="3" x14ac:dyDescent="0.25">
      <c r="A176" s="69" t="s">
        <v>10</v>
      </c>
      <c r="B176" s="11">
        <v>5230060</v>
      </c>
      <c r="C176" s="11">
        <v>1980000</v>
      </c>
      <c r="D176" s="11">
        <v>1952116.65</v>
      </c>
      <c r="E176" s="11">
        <v>1952116.65</v>
      </c>
      <c r="F176" s="14">
        <f t="shared" si="19"/>
        <v>0.9859175</v>
      </c>
      <c r="G176" s="14">
        <f t="shared" si="18"/>
        <v>0.37324937954822696</v>
      </c>
    </row>
    <row r="177" spans="1:7" ht="13.5" customHeight="1" outlineLevel="3" x14ac:dyDescent="0.25">
      <c r="A177" s="69" t="s">
        <v>11</v>
      </c>
      <c r="B177" s="11">
        <v>775580</v>
      </c>
      <c r="C177" s="11">
        <v>400000</v>
      </c>
      <c r="D177" s="11">
        <v>295041.98</v>
      </c>
      <c r="E177" s="11">
        <v>295041.98</v>
      </c>
      <c r="F177" s="14">
        <f t="shared" si="19"/>
        <v>0.73760494999999993</v>
      </c>
      <c r="G177" s="14">
        <f t="shared" si="18"/>
        <v>0.38041463163052164</v>
      </c>
    </row>
    <row r="178" spans="1:7" ht="13.5" customHeight="1" outlineLevel="3" x14ac:dyDescent="0.25">
      <c r="A178" s="69" t="s">
        <v>29</v>
      </c>
      <c r="B178" s="11">
        <v>27117</v>
      </c>
      <c r="C178" s="12"/>
      <c r="D178" s="12"/>
      <c r="E178" s="12"/>
      <c r="F178" s="14">
        <v>0</v>
      </c>
      <c r="G178" s="14">
        <f t="shared" si="18"/>
        <v>0</v>
      </c>
    </row>
    <row r="179" spans="1:7" ht="13.5" customHeight="1" outlineLevel="3" x14ac:dyDescent="0.25">
      <c r="A179" s="69" t="s">
        <v>12</v>
      </c>
      <c r="B179" s="11">
        <v>2846815</v>
      </c>
      <c r="C179" s="11">
        <v>760000</v>
      </c>
      <c r="D179" s="11">
        <v>112181.36</v>
      </c>
      <c r="E179" s="11">
        <v>112181.36</v>
      </c>
      <c r="F179" s="14">
        <f t="shared" ref="F179:F189" si="20">D179/C179</f>
        <v>0.14760705263157894</v>
      </c>
      <c r="G179" s="14">
        <f t="shared" si="18"/>
        <v>3.9405918544057131E-2</v>
      </c>
    </row>
    <row r="180" spans="1:7" ht="13.5" customHeight="1" outlineLevel="3" x14ac:dyDescent="0.25">
      <c r="A180" s="69" t="s">
        <v>13</v>
      </c>
      <c r="B180" s="11">
        <v>2361817</v>
      </c>
      <c r="C180" s="11">
        <v>926528</v>
      </c>
      <c r="D180" s="11">
        <v>480029.47</v>
      </c>
      <c r="E180" s="11">
        <v>480029.47</v>
      </c>
      <c r="F180" s="14">
        <f t="shared" si="20"/>
        <v>0.51809494154520963</v>
      </c>
      <c r="G180" s="14">
        <f t="shared" si="18"/>
        <v>0.20324583572732349</v>
      </c>
    </row>
    <row r="181" spans="1:7" ht="13.5" customHeight="1" outlineLevel="3" x14ac:dyDescent="0.25">
      <c r="A181" s="69" t="s">
        <v>14</v>
      </c>
      <c r="B181" s="11">
        <v>197588</v>
      </c>
      <c r="C181" s="11">
        <v>63486</v>
      </c>
      <c r="D181" s="11">
        <v>60751.03</v>
      </c>
      <c r="E181" s="11">
        <v>60751.03</v>
      </c>
      <c r="F181" s="14">
        <f t="shared" si="20"/>
        <v>0.95692010837034935</v>
      </c>
      <c r="G181" s="14">
        <f t="shared" si="18"/>
        <v>0.30746315565722615</v>
      </c>
    </row>
    <row r="182" spans="1:7" ht="13.5" customHeight="1" outlineLevel="3" x14ac:dyDescent="0.25">
      <c r="A182" s="69" t="s">
        <v>15</v>
      </c>
      <c r="B182" s="11">
        <v>1326520</v>
      </c>
      <c r="C182" s="11">
        <v>662570</v>
      </c>
      <c r="D182" s="11">
        <v>659059.06999999995</v>
      </c>
      <c r="E182" s="11">
        <v>659059.06999999995</v>
      </c>
      <c r="F182" s="14">
        <f t="shared" si="20"/>
        <v>0.99470104290867367</v>
      </c>
      <c r="G182" s="14">
        <f t="shared" si="18"/>
        <v>0.49683311974188099</v>
      </c>
    </row>
    <row r="183" spans="1:7" ht="13.5" customHeight="1" outlineLevel="3" x14ac:dyDescent="0.25">
      <c r="A183" s="69" t="s">
        <v>26</v>
      </c>
      <c r="B183" s="11">
        <v>61955</v>
      </c>
      <c r="C183" s="11">
        <v>21200</v>
      </c>
      <c r="D183" s="11">
        <v>21200</v>
      </c>
      <c r="E183" s="11">
        <v>21200</v>
      </c>
      <c r="F183" s="14">
        <f t="shared" si="20"/>
        <v>1</v>
      </c>
      <c r="G183" s="14">
        <f t="shared" si="18"/>
        <v>0.34218384311193606</v>
      </c>
    </row>
    <row r="184" spans="1:7" ht="26.25" customHeight="1" outlineLevel="3" x14ac:dyDescent="0.25">
      <c r="A184" s="69" t="s">
        <v>16</v>
      </c>
      <c r="B184" s="11">
        <v>3000</v>
      </c>
      <c r="C184" s="11">
        <v>3000</v>
      </c>
      <c r="D184" s="12"/>
      <c r="E184" s="12"/>
      <c r="F184" s="14">
        <f t="shared" si="20"/>
        <v>0</v>
      </c>
      <c r="G184" s="14">
        <f t="shared" si="18"/>
        <v>0</v>
      </c>
    </row>
    <row r="185" spans="1:7" ht="27" customHeight="1" outlineLevel="3" x14ac:dyDescent="0.25">
      <c r="A185" s="69" t="s">
        <v>56</v>
      </c>
      <c r="B185" s="11">
        <v>1357500</v>
      </c>
      <c r="C185" s="11">
        <v>1357500</v>
      </c>
      <c r="D185" s="12"/>
      <c r="E185" s="12"/>
      <c r="F185" s="14">
        <f t="shared" si="20"/>
        <v>0</v>
      </c>
      <c r="G185" s="14">
        <f t="shared" si="18"/>
        <v>0</v>
      </c>
    </row>
    <row r="186" spans="1:7" s="17" customFormat="1" ht="26.25" customHeight="1" outlineLevel="2" x14ac:dyDescent="0.2">
      <c r="A186" s="83" t="s">
        <v>23</v>
      </c>
      <c r="B186" s="9">
        <v>1095181103</v>
      </c>
      <c r="C186" s="9">
        <f>SUM(C187:C198)</f>
        <v>379418437</v>
      </c>
      <c r="D186" s="9">
        <v>321660467.18000001</v>
      </c>
      <c r="E186" s="9">
        <v>318843601.98000002</v>
      </c>
      <c r="F186" s="16">
        <f t="shared" si="20"/>
        <v>0.84777236900588471</v>
      </c>
      <c r="G186" s="16">
        <f t="shared" si="18"/>
        <v>0.29370527513566858</v>
      </c>
    </row>
    <row r="187" spans="1:7" ht="13.5" customHeight="1" outlineLevel="3" x14ac:dyDescent="0.25">
      <c r="A187" s="69" t="s">
        <v>9</v>
      </c>
      <c r="B187" s="11">
        <v>671581519</v>
      </c>
      <c r="C187" s="11">
        <f>262342844-C175-C163-C151-C140</f>
        <v>217536164</v>
      </c>
      <c r="D187" s="11">
        <v>216269686.50999999</v>
      </c>
      <c r="E187" s="11">
        <v>216269686.50999999</v>
      </c>
      <c r="F187" s="14">
        <f t="shared" si="20"/>
        <v>0.9941780830060053</v>
      </c>
      <c r="G187" s="14">
        <f t="shared" si="18"/>
        <v>0.32203043173676132</v>
      </c>
    </row>
    <row r="188" spans="1:7" ht="13.5" customHeight="1" outlineLevel="3" x14ac:dyDescent="0.25">
      <c r="A188" s="69" t="s">
        <v>10</v>
      </c>
      <c r="B188" s="11">
        <v>147747934</v>
      </c>
      <c r="C188" s="11">
        <f>57715425-C176-C164-C152-C141</f>
        <v>47857956</v>
      </c>
      <c r="D188" s="11">
        <v>46767837.890000001</v>
      </c>
      <c r="E188" s="11">
        <v>46767837.890000001</v>
      </c>
      <c r="F188" s="14">
        <f t="shared" si="20"/>
        <v>0.97722179965228773</v>
      </c>
      <c r="G188" s="14">
        <f t="shared" si="18"/>
        <v>0.31653801595628406</v>
      </c>
    </row>
    <row r="189" spans="1:7" ht="13.5" customHeight="1" outlineLevel="3" x14ac:dyDescent="0.25">
      <c r="A189" s="69" t="s">
        <v>11</v>
      </c>
      <c r="B189" s="11">
        <v>26149108</v>
      </c>
      <c r="C189" s="11">
        <f>7852403-C177-C165-C153-C142</f>
        <v>4999688</v>
      </c>
      <c r="D189" s="11">
        <v>285086.5</v>
      </c>
      <c r="E189" s="11">
        <v>285086.5</v>
      </c>
      <c r="F189" s="14">
        <f t="shared" si="20"/>
        <v>5.7020858101545537E-2</v>
      </c>
      <c r="G189" s="14">
        <f t="shared" si="18"/>
        <v>1.0902341295924893E-2</v>
      </c>
    </row>
    <row r="190" spans="1:7" ht="13.5" customHeight="1" outlineLevel="3" x14ac:dyDescent="0.25">
      <c r="A190" s="69" t="s">
        <v>29</v>
      </c>
      <c r="B190" s="11">
        <v>652970</v>
      </c>
      <c r="C190" s="11">
        <v>0</v>
      </c>
      <c r="D190" s="12"/>
      <c r="E190" s="12"/>
      <c r="F190" s="14">
        <v>0</v>
      </c>
      <c r="G190" s="14">
        <f t="shared" si="18"/>
        <v>0</v>
      </c>
    </row>
    <row r="191" spans="1:7" ht="13.5" customHeight="1" outlineLevel="3" x14ac:dyDescent="0.25">
      <c r="A191" s="69" t="s">
        <v>34</v>
      </c>
      <c r="B191" s="11">
        <v>18915678</v>
      </c>
      <c r="C191" s="11">
        <f>15896483-C155</f>
        <v>15174033</v>
      </c>
      <c r="D191" s="11">
        <v>3181229.01</v>
      </c>
      <c r="E191" s="11">
        <v>3181229.01</v>
      </c>
      <c r="F191" s="14">
        <f t="shared" ref="F191:F203" si="21">D191/C191</f>
        <v>0.20964953812872292</v>
      </c>
      <c r="G191" s="14">
        <f t="shared" si="18"/>
        <v>0.16817948634989449</v>
      </c>
    </row>
    <row r="192" spans="1:7" ht="13.5" customHeight="1" outlineLevel="3" x14ac:dyDescent="0.25">
      <c r="A192" s="69" t="s">
        <v>12</v>
      </c>
      <c r="B192" s="11">
        <v>118237657</v>
      </c>
      <c r="C192" s="11">
        <f>31478517-C179-C167-C156-C144</f>
        <v>29017567</v>
      </c>
      <c r="D192" s="11">
        <v>2812113.11</v>
      </c>
      <c r="E192" s="11">
        <v>2359780.11</v>
      </c>
      <c r="F192" s="14">
        <f t="shared" si="21"/>
        <v>9.6910713086317671E-2</v>
      </c>
      <c r="G192" s="14">
        <f t="shared" si="18"/>
        <v>2.3783565924348448E-2</v>
      </c>
    </row>
    <row r="193" spans="1:8" ht="13.5" customHeight="1" outlineLevel="3" x14ac:dyDescent="0.25">
      <c r="A193" s="69" t="s">
        <v>13</v>
      </c>
      <c r="B193" s="11">
        <v>78095761</v>
      </c>
      <c r="C193" s="11">
        <f>56830436-C180-C168-C157-C145</f>
        <v>49709501</v>
      </c>
      <c r="D193" s="11">
        <v>39703314.549999997</v>
      </c>
      <c r="E193" s="11">
        <v>39703314.549999997</v>
      </c>
      <c r="F193" s="14">
        <f t="shared" si="21"/>
        <v>0.79870676130907037</v>
      </c>
      <c r="G193" s="14">
        <f t="shared" si="18"/>
        <v>0.50839269688402167</v>
      </c>
    </row>
    <row r="194" spans="1:8" ht="13.5" customHeight="1" outlineLevel="3" x14ac:dyDescent="0.25">
      <c r="A194" s="69" t="s">
        <v>14</v>
      </c>
      <c r="B194" s="11">
        <v>5425963</v>
      </c>
      <c r="C194" s="11">
        <f>2525774-C181-C169-C158-C146</f>
        <v>2058398</v>
      </c>
      <c r="D194" s="11">
        <v>1620769.73</v>
      </c>
      <c r="E194" s="11">
        <v>1620769.73</v>
      </c>
      <c r="F194" s="14">
        <f t="shared" si="21"/>
        <v>0.78739375475491136</v>
      </c>
      <c r="G194" s="14">
        <f t="shared" si="18"/>
        <v>0.29870637341242467</v>
      </c>
    </row>
    <row r="195" spans="1:8" ht="13.5" customHeight="1" outlineLevel="3" x14ac:dyDescent="0.25">
      <c r="A195" s="69" t="s">
        <v>15</v>
      </c>
      <c r="B195" s="11">
        <v>27187250</v>
      </c>
      <c r="C195" s="11">
        <f>15661410-C182-C170-C159-C147</f>
        <v>12397020</v>
      </c>
      <c r="D195" s="11">
        <v>10689487.27</v>
      </c>
      <c r="E195" s="11">
        <v>8324955.0700000003</v>
      </c>
      <c r="F195" s="14">
        <f t="shared" si="21"/>
        <v>0.86226264618432491</v>
      </c>
      <c r="G195" s="14">
        <f t="shared" si="18"/>
        <v>0.39318015871410311</v>
      </c>
    </row>
    <row r="196" spans="1:8" ht="13.5" customHeight="1" outlineLevel="3" x14ac:dyDescent="0.25">
      <c r="A196" s="69" t="s">
        <v>32</v>
      </c>
      <c r="B196" s="11">
        <v>1500</v>
      </c>
      <c r="C196" s="11">
        <v>858</v>
      </c>
      <c r="D196" s="12"/>
      <c r="E196" s="12"/>
      <c r="F196" s="14">
        <f t="shared" si="21"/>
        <v>0</v>
      </c>
      <c r="G196" s="14">
        <f t="shared" si="18"/>
        <v>0</v>
      </c>
    </row>
    <row r="197" spans="1:8" ht="13.5" customHeight="1" outlineLevel="3" x14ac:dyDescent="0.25">
      <c r="A197" s="69" t="s">
        <v>26</v>
      </c>
      <c r="B197" s="11">
        <v>1047763</v>
      </c>
      <c r="C197" s="11">
        <f>626412-C183-C171-C160-C148</f>
        <v>529252</v>
      </c>
      <c r="D197" s="11">
        <v>330942.61</v>
      </c>
      <c r="E197" s="11">
        <v>330942.61</v>
      </c>
      <c r="F197" s="14">
        <f t="shared" si="21"/>
        <v>0.62530252129420383</v>
      </c>
      <c r="G197" s="14">
        <f t="shared" si="18"/>
        <v>0.3158563625552725</v>
      </c>
    </row>
    <row r="198" spans="1:8" ht="27" customHeight="1" outlineLevel="3" x14ac:dyDescent="0.25">
      <c r="A198" s="69" t="s">
        <v>16</v>
      </c>
      <c r="B198" s="11">
        <v>138000</v>
      </c>
      <c r="C198" s="11">
        <f>150000-C184-C172-C161-C149</f>
        <v>138000</v>
      </c>
      <c r="D198" s="12"/>
      <c r="E198" s="12"/>
      <c r="F198" s="14">
        <f t="shared" si="21"/>
        <v>0</v>
      </c>
      <c r="G198" s="14">
        <f t="shared" si="18"/>
        <v>0</v>
      </c>
    </row>
    <row r="199" spans="1:8" s="18" customFormat="1" ht="63.75" customHeight="1" outlineLevel="1" x14ac:dyDescent="0.2">
      <c r="A199" s="70" t="s">
        <v>67</v>
      </c>
      <c r="B199" s="22">
        <v>64716290</v>
      </c>
      <c r="C199" s="22">
        <f>C200</f>
        <v>22385272</v>
      </c>
      <c r="D199" s="22">
        <v>17758802.52</v>
      </c>
      <c r="E199" s="22">
        <v>17637389.350000001</v>
      </c>
      <c r="F199" s="23">
        <f t="shared" si="21"/>
        <v>0.79332529531023788</v>
      </c>
      <c r="G199" s="23">
        <f t="shared" si="18"/>
        <v>0.27441008314908039</v>
      </c>
      <c r="H199" s="47"/>
    </row>
    <row r="200" spans="1:8" s="17" customFormat="1" ht="24.75" customHeight="1" outlineLevel="2" x14ac:dyDescent="0.2">
      <c r="A200" s="83" t="s">
        <v>23</v>
      </c>
      <c r="B200" s="9">
        <v>64716290</v>
      </c>
      <c r="C200" s="9">
        <f>SUM(C201:C213)</f>
        <v>22385272</v>
      </c>
      <c r="D200" s="9">
        <v>17758802.52</v>
      </c>
      <c r="E200" s="9">
        <v>17637389.350000001</v>
      </c>
      <c r="F200" s="16">
        <f t="shared" si="21"/>
        <v>0.79332529531023788</v>
      </c>
      <c r="G200" s="16">
        <f t="shared" si="18"/>
        <v>0.27441008314908039</v>
      </c>
    </row>
    <row r="201" spans="1:8" ht="13.5" customHeight="1" outlineLevel="3" x14ac:dyDescent="0.25">
      <c r="A201" s="69" t="s">
        <v>9</v>
      </c>
      <c r="B201" s="11">
        <v>36926577</v>
      </c>
      <c r="C201" s="11">
        <v>11622683</v>
      </c>
      <c r="D201" s="11">
        <v>11568195.15</v>
      </c>
      <c r="E201" s="11">
        <v>11568195.15</v>
      </c>
      <c r="F201" s="14">
        <f t="shared" si="21"/>
        <v>0.99531193873221879</v>
      </c>
      <c r="G201" s="14">
        <f t="shared" si="18"/>
        <v>0.31327558874465944</v>
      </c>
    </row>
    <row r="202" spans="1:8" ht="13.5" customHeight="1" outlineLevel="3" x14ac:dyDescent="0.25">
      <c r="A202" s="69" t="s">
        <v>10</v>
      </c>
      <c r="B202" s="11">
        <v>8123847</v>
      </c>
      <c r="C202" s="11">
        <v>2556992</v>
      </c>
      <c r="D202" s="11">
        <v>2517070.89</v>
      </c>
      <c r="E202" s="11">
        <v>2517070.89</v>
      </c>
      <c r="F202" s="14">
        <f t="shared" si="21"/>
        <v>0.98438747168548046</v>
      </c>
      <c r="G202" s="14">
        <f t="shared" si="18"/>
        <v>0.3098373086051473</v>
      </c>
    </row>
    <row r="203" spans="1:8" ht="13.5" customHeight="1" outlineLevel="3" x14ac:dyDescent="0.25">
      <c r="A203" s="69" t="s">
        <v>11</v>
      </c>
      <c r="B203" s="11">
        <v>2000000</v>
      </c>
      <c r="C203" s="11">
        <v>1000000</v>
      </c>
      <c r="D203" s="11">
        <v>14531.4</v>
      </c>
      <c r="E203" s="11">
        <v>14531.4</v>
      </c>
      <c r="F203" s="14">
        <f t="shared" si="21"/>
        <v>1.45314E-2</v>
      </c>
      <c r="G203" s="14">
        <f t="shared" si="18"/>
        <v>7.2656999999999999E-3</v>
      </c>
    </row>
    <row r="204" spans="1:8" ht="13.5" customHeight="1" outlineLevel="3" x14ac:dyDescent="0.25">
      <c r="A204" s="69" t="s">
        <v>29</v>
      </c>
      <c r="B204" s="11">
        <v>30000</v>
      </c>
      <c r="C204" s="11"/>
      <c r="D204" s="12"/>
      <c r="E204" s="12"/>
      <c r="F204" s="14">
        <v>0</v>
      </c>
      <c r="G204" s="14">
        <f t="shared" si="18"/>
        <v>0</v>
      </c>
    </row>
    <row r="205" spans="1:8" ht="13.5" customHeight="1" outlineLevel="3" x14ac:dyDescent="0.25">
      <c r="A205" s="69" t="s">
        <v>34</v>
      </c>
      <c r="B205" s="11">
        <v>4187462</v>
      </c>
      <c r="C205" s="11">
        <v>1800000</v>
      </c>
      <c r="D205" s="11">
        <v>772437.5</v>
      </c>
      <c r="E205" s="11">
        <v>772437.5</v>
      </c>
      <c r="F205" s="14">
        <f t="shared" ref="F205:F212" si="22">D205/C205</f>
        <v>0.42913194444444447</v>
      </c>
      <c r="G205" s="14">
        <f t="shared" si="18"/>
        <v>0.18446436051240583</v>
      </c>
    </row>
    <row r="206" spans="1:8" ht="13.5" customHeight="1" outlineLevel="3" x14ac:dyDescent="0.25">
      <c r="A206" s="69" t="s">
        <v>12</v>
      </c>
      <c r="B206" s="11">
        <v>3025300</v>
      </c>
      <c r="C206" s="11">
        <v>425300</v>
      </c>
      <c r="D206" s="11">
        <v>48251.76</v>
      </c>
      <c r="E206" s="11">
        <v>48251.76</v>
      </c>
      <c r="F206" s="14">
        <f t="shared" si="22"/>
        <v>0.11345346814013638</v>
      </c>
      <c r="G206" s="14">
        <f t="shared" si="18"/>
        <v>1.5949413281327471E-2</v>
      </c>
    </row>
    <row r="207" spans="1:8" ht="13.5" customHeight="1" outlineLevel="3" x14ac:dyDescent="0.25">
      <c r="A207" s="69" t="s">
        <v>13</v>
      </c>
      <c r="B207" s="11">
        <v>6494319</v>
      </c>
      <c r="C207" s="11">
        <v>4411659</v>
      </c>
      <c r="D207" s="11">
        <v>2351110.6</v>
      </c>
      <c r="E207" s="11">
        <v>2351110.6</v>
      </c>
      <c r="F207" s="14">
        <f t="shared" si="22"/>
        <v>0.53293117169754056</v>
      </c>
      <c r="G207" s="14">
        <f t="shared" si="18"/>
        <v>0.36202573356806156</v>
      </c>
    </row>
    <row r="208" spans="1:8" ht="13.5" customHeight="1" outlineLevel="3" x14ac:dyDescent="0.25">
      <c r="A208" s="69" t="s">
        <v>14</v>
      </c>
      <c r="B208" s="11">
        <v>285424</v>
      </c>
      <c r="C208" s="11">
        <v>97293</v>
      </c>
      <c r="D208" s="11">
        <v>62468.65</v>
      </c>
      <c r="E208" s="11">
        <v>62468.65</v>
      </c>
      <c r="F208" s="14">
        <f t="shared" si="22"/>
        <v>0.64206726074846088</v>
      </c>
      <c r="G208" s="14">
        <f t="shared" si="18"/>
        <v>0.21886263944167275</v>
      </c>
    </row>
    <row r="209" spans="1:8" ht="13.5" customHeight="1" outlineLevel="3" x14ac:dyDescent="0.25">
      <c r="A209" s="69" t="s">
        <v>15</v>
      </c>
      <c r="B209" s="11">
        <v>1091140</v>
      </c>
      <c r="C209" s="11">
        <v>448000</v>
      </c>
      <c r="D209" s="11">
        <v>409600</v>
      </c>
      <c r="E209" s="11">
        <v>288186.83</v>
      </c>
      <c r="F209" s="14">
        <f t="shared" si="22"/>
        <v>0.91428571428571426</v>
      </c>
      <c r="G209" s="14">
        <f t="shared" si="18"/>
        <v>0.37538720970727862</v>
      </c>
    </row>
    <row r="210" spans="1:8" ht="13.5" customHeight="1" outlineLevel="3" x14ac:dyDescent="0.25">
      <c r="A210" s="69" t="s">
        <v>32</v>
      </c>
      <c r="B210" s="11">
        <v>2000</v>
      </c>
      <c r="C210" s="11">
        <v>1098</v>
      </c>
      <c r="D210" s="13">
        <v>237.92</v>
      </c>
      <c r="E210" s="13">
        <v>237.92</v>
      </c>
      <c r="F210" s="14">
        <f t="shared" si="22"/>
        <v>0.21668488160291438</v>
      </c>
      <c r="G210" s="14">
        <f t="shared" si="18"/>
        <v>0.11896</v>
      </c>
    </row>
    <row r="211" spans="1:8" ht="13.5" customHeight="1" outlineLevel="3" x14ac:dyDescent="0.25">
      <c r="A211" s="69" t="s">
        <v>26</v>
      </c>
      <c r="B211" s="11">
        <v>44221</v>
      </c>
      <c r="C211" s="11">
        <v>16247</v>
      </c>
      <c r="D211" s="11">
        <v>14898.65</v>
      </c>
      <c r="E211" s="11">
        <v>14898.65</v>
      </c>
      <c r="F211" s="14">
        <f t="shared" si="22"/>
        <v>0.91700929402351206</v>
      </c>
      <c r="G211" s="14">
        <f t="shared" si="18"/>
        <v>0.33691345740711426</v>
      </c>
    </row>
    <row r="212" spans="1:8" ht="26.25" customHeight="1" outlineLevel="3" x14ac:dyDescent="0.25">
      <c r="A212" s="69" t="s">
        <v>16</v>
      </c>
      <c r="B212" s="11">
        <v>6000</v>
      </c>
      <c r="C212" s="11">
        <v>6000</v>
      </c>
      <c r="D212" s="12"/>
      <c r="E212" s="12"/>
      <c r="F212" s="14">
        <f t="shared" si="22"/>
        <v>0</v>
      </c>
      <c r="G212" s="14">
        <f t="shared" si="18"/>
        <v>0</v>
      </c>
    </row>
    <row r="213" spans="1:8" ht="28.5" customHeight="1" outlineLevel="3" x14ac:dyDescent="0.25">
      <c r="A213" s="69" t="s">
        <v>56</v>
      </c>
      <c r="B213" s="11">
        <v>2500000</v>
      </c>
      <c r="C213" s="11"/>
      <c r="D213" s="12"/>
      <c r="E213" s="12"/>
      <c r="F213" s="14">
        <v>0</v>
      </c>
      <c r="G213" s="14">
        <f t="shared" si="18"/>
        <v>0</v>
      </c>
    </row>
    <row r="214" spans="1:8" s="18" customFormat="1" ht="42" customHeight="1" outlineLevel="1" x14ac:dyDescent="0.2">
      <c r="A214" s="70" t="s">
        <v>68</v>
      </c>
      <c r="B214" s="22">
        <f>B215+B226</f>
        <v>94331154</v>
      </c>
      <c r="C214" s="22">
        <f t="shared" ref="C214:E214" si="23">C215+C226</f>
        <v>30606527</v>
      </c>
      <c r="D214" s="22">
        <f t="shared" si="23"/>
        <v>23239781.559999999</v>
      </c>
      <c r="E214" s="22">
        <f t="shared" si="23"/>
        <v>23204880.68</v>
      </c>
      <c r="F214" s="23">
        <f>D214/C214</f>
        <v>0.75930802472296177</v>
      </c>
      <c r="G214" s="23">
        <f t="shared" si="18"/>
        <v>0.24636380002305494</v>
      </c>
      <c r="H214" s="47"/>
    </row>
    <row r="215" spans="1:8" s="17" customFormat="1" ht="27.75" customHeight="1" outlineLevel="2" x14ac:dyDescent="0.2">
      <c r="A215" s="83" t="s">
        <v>23</v>
      </c>
      <c r="B215" s="9">
        <v>31085605</v>
      </c>
      <c r="C215" s="9">
        <f>SUM(C216:C225)</f>
        <v>10716950</v>
      </c>
      <c r="D215" s="9">
        <v>6795862.3899999997</v>
      </c>
      <c r="E215" s="9">
        <v>6760961.5099999998</v>
      </c>
      <c r="F215" s="16">
        <f>D215/C215</f>
        <v>0.63412280452927372</v>
      </c>
      <c r="G215" s="16">
        <f t="shared" si="18"/>
        <v>0.21861766531486196</v>
      </c>
    </row>
    <row r="216" spans="1:8" ht="15" customHeight="1" outlineLevel="3" x14ac:dyDescent="0.25">
      <c r="A216" s="69" t="s">
        <v>9</v>
      </c>
      <c r="B216" s="11">
        <v>16695100</v>
      </c>
      <c r="C216" s="11">
        <f>17910257-C227</f>
        <v>5257457</v>
      </c>
      <c r="D216" s="11">
        <v>5034099.76</v>
      </c>
      <c r="E216" s="11">
        <v>5034099.76</v>
      </c>
      <c r="F216" s="14">
        <f>D216/C216</f>
        <v>0.95751610712175106</v>
      </c>
      <c r="G216" s="14">
        <f t="shared" si="18"/>
        <v>0.30153157273691084</v>
      </c>
    </row>
    <row r="217" spans="1:8" ht="15" customHeight="1" outlineLevel="3" x14ac:dyDescent="0.25">
      <c r="A217" s="69" t="s">
        <v>10</v>
      </c>
      <c r="B217" s="11">
        <v>3672922</v>
      </c>
      <c r="C217" s="11">
        <f>3940257-C228</f>
        <v>1156641</v>
      </c>
      <c r="D217" s="11">
        <v>1136600.67</v>
      </c>
      <c r="E217" s="11">
        <v>1136600.67</v>
      </c>
      <c r="F217" s="14">
        <f>D217/C217</f>
        <v>0.9826736818079248</v>
      </c>
      <c r="G217" s="14">
        <f t="shared" si="18"/>
        <v>0.30945407226181226</v>
      </c>
    </row>
    <row r="218" spans="1:8" ht="15" customHeight="1" outlineLevel="3" x14ac:dyDescent="0.25">
      <c r="A218" s="69" t="s">
        <v>11</v>
      </c>
      <c r="B218" s="11">
        <v>1590000</v>
      </c>
      <c r="C218" s="11">
        <f>1590000-C229</f>
        <v>490000</v>
      </c>
      <c r="D218" s="11">
        <v>1652.1</v>
      </c>
      <c r="E218" s="11">
        <v>1652.1</v>
      </c>
      <c r="F218" s="14">
        <f>D218/C218</f>
        <v>3.3716326530612243E-3</v>
      </c>
      <c r="G218" s="14">
        <f t="shared" si="18"/>
        <v>1.039056603773585E-3</v>
      </c>
    </row>
    <row r="219" spans="1:8" ht="15" customHeight="1" outlineLevel="3" x14ac:dyDescent="0.25">
      <c r="A219" s="69" t="s">
        <v>29</v>
      </c>
      <c r="B219" s="11">
        <v>15000</v>
      </c>
      <c r="C219" s="11"/>
      <c r="D219" s="12"/>
      <c r="E219" s="12"/>
      <c r="F219" s="14">
        <v>0</v>
      </c>
      <c r="G219" s="14">
        <f t="shared" si="18"/>
        <v>0</v>
      </c>
    </row>
    <row r="220" spans="1:8" ht="15" customHeight="1" outlineLevel="3" x14ac:dyDescent="0.25">
      <c r="A220" s="69" t="s">
        <v>12</v>
      </c>
      <c r="B220" s="11">
        <v>6146400</v>
      </c>
      <c r="C220" s="11">
        <f>4850000-C231</f>
        <v>2250000</v>
      </c>
      <c r="D220" s="11">
        <v>150827.25</v>
      </c>
      <c r="E220" s="11">
        <v>150827.25</v>
      </c>
      <c r="F220" s="14">
        <f t="shared" ref="F220:F229" si="24">D220/C220</f>
        <v>6.7034333333333335E-2</v>
      </c>
      <c r="G220" s="14">
        <f t="shared" ref="G220:G283" si="25">D220/B220</f>
        <v>2.4539120460757517E-2</v>
      </c>
    </row>
    <row r="221" spans="1:8" ht="15" customHeight="1" outlineLevel="3" x14ac:dyDescent="0.25">
      <c r="A221" s="69" t="s">
        <v>13</v>
      </c>
      <c r="B221" s="11">
        <v>2295071</v>
      </c>
      <c r="C221" s="11">
        <f>1668910-C232</f>
        <v>1411099</v>
      </c>
      <c r="D221" s="11">
        <v>344862.42</v>
      </c>
      <c r="E221" s="11">
        <v>344862.42</v>
      </c>
      <c r="F221" s="14">
        <f t="shared" si="24"/>
        <v>0.24439278888299118</v>
      </c>
      <c r="G221" s="14">
        <f t="shared" si="25"/>
        <v>0.15026220103866067</v>
      </c>
    </row>
    <row r="222" spans="1:8" ht="15" customHeight="1" outlineLevel="3" x14ac:dyDescent="0.25">
      <c r="A222" s="69" t="s">
        <v>14</v>
      </c>
      <c r="B222" s="11">
        <v>52570</v>
      </c>
      <c r="C222" s="11">
        <f>52464-C233</f>
        <v>19888</v>
      </c>
      <c r="D222" s="11">
        <v>12833.01</v>
      </c>
      <c r="E222" s="11">
        <v>12833.01</v>
      </c>
      <c r="F222" s="14">
        <f t="shared" si="24"/>
        <v>0.6452639782783588</v>
      </c>
      <c r="G222" s="14">
        <f t="shared" si="25"/>
        <v>0.24411280197831464</v>
      </c>
    </row>
    <row r="223" spans="1:8" ht="15" customHeight="1" outlineLevel="3" x14ac:dyDescent="0.25">
      <c r="A223" s="69" t="s">
        <v>15</v>
      </c>
      <c r="B223" s="11">
        <v>590760</v>
      </c>
      <c r="C223" s="11">
        <f>568374-C234</f>
        <v>119000</v>
      </c>
      <c r="D223" s="11">
        <v>113210.01</v>
      </c>
      <c r="E223" s="11">
        <v>78309.13</v>
      </c>
      <c r="F223" s="14">
        <f t="shared" si="24"/>
        <v>0.95134462184873947</v>
      </c>
      <c r="G223" s="14">
        <f t="shared" si="25"/>
        <v>0.19163452163315051</v>
      </c>
    </row>
    <row r="224" spans="1:8" ht="15" customHeight="1" outlineLevel="3" x14ac:dyDescent="0.25">
      <c r="A224" s="69" t="s">
        <v>26</v>
      </c>
      <c r="B224" s="11">
        <v>24782</v>
      </c>
      <c r="C224" s="11">
        <f>20265-C235</f>
        <v>9865</v>
      </c>
      <c r="D224" s="11">
        <v>1777.17</v>
      </c>
      <c r="E224" s="11">
        <v>1777.17</v>
      </c>
      <c r="F224" s="14">
        <f t="shared" si="24"/>
        <v>0.18014901165737457</v>
      </c>
      <c r="G224" s="14">
        <f t="shared" si="25"/>
        <v>7.1712129771608429E-2</v>
      </c>
    </row>
    <row r="225" spans="1:8" ht="26.25" customHeight="1" outlineLevel="3" x14ac:dyDescent="0.25">
      <c r="A225" s="69" t="s">
        <v>16</v>
      </c>
      <c r="B225" s="11">
        <v>3000</v>
      </c>
      <c r="C225" s="11">
        <f>6000-C236</f>
        <v>3000</v>
      </c>
      <c r="D225" s="12"/>
      <c r="E225" s="12"/>
      <c r="F225" s="14">
        <f t="shared" si="24"/>
        <v>0</v>
      </c>
      <c r="G225" s="14">
        <f t="shared" si="25"/>
        <v>0</v>
      </c>
    </row>
    <row r="226" spans="1:8" s="17" customFormat="1" ht="19.5" customHeight="1" outlineLevel="2" x14ac:dyDescent="0.2">
      <c r="A226" s="83" t="s">
        <v>36</v>
      </c>
      <c r="B226" s="9">
        <v>63245549</v>
      </c>
      <c r="C226" s="9">
        <v>19889577</v>
      </c>
      <c r="D226" s="9">
        <v>16443919.17</v>
      </c>
      <c r="E226" s="9">
        <v>16443919.17</v>
      </c>
      <c r="F226" s="16">
        <f t="shared" si="24"/>
        <v>0.82676062794095617</v>
      </c>
      <c r="G226" s="16">
        <f t="shared" si="25"/>
        <v>0.26000120846448815</v>
      </c>
    </row>
    <row r="227" spans="1:8" ht="15.75" customHeight="1" outlineLevel="3" x14ac:dyDescent="0.25">
      <c r="A227" s="69" t="s">
        <v>9</v>
      </c>
      <c r="B227" s="11">
        <v>43835385</v>
      </c>
      <c r="C227" s="11">
        <v>12652800</v>
      </c>
      <c r="D227" s="11">
        <v>12652058.289999999</v>
      </c>
      <c r="E227" s="11">
        <v>12652058.289999999</v>
      </c>
      <c r="F227" s="14">
        <f t="shared" si="24"/>
        <v>0.99994137977364683</v>
      </c>
      <c r="G227" s="14">
        <f t="shared" si="25"/>
        <v>0.28862660359889619</v>
      </c>
    </row>
    <row r="228" spans="1:8" ht="15.75" customHeight="1" outlineLevel="3" x14ac:dyDescent="0.25">
      <c r="A228" s="69" t="s">
        <v>10</v>
      </c>
      <c r="B228" s="11">
        <v>9643785</v>
      </c>
      <c r="C228" s="11">
        <v>2783616</v>
      </c>
      <c r="D228" s="11">
        <v>2756612.69</v>
      </c>
      <c r="E228" s="11">
        <v>2756612.69</v>
      </c>
      <c r="F228" s="14">
        <f t="shared" si="24"/>
        <v>0.99029919715937831</v>
      </c>
      <c r="G228" s="14">
        <f t="shared" si="25"/>
        <v>0.28584344113851562</v>
      </c>
    </row>
    <row r="229" spans="1:8" ht="15.75" customHeight="1" outlineLevel="3" x14ac:dyDescent="0.25">
      <c r="A229" s="69" t="s">
        <v>11</v>
      </c>
      <c r="B229" s="11">
        <v>2600000</v>
      </c>
      <c r="C229" s="11">
        <v>1100000</v>
      </c>
      <c r="D229" s="11">
        <v>272397.78999999998</v>
      </c>
      <c r="E229" s="11">
        <v>272397.78999999998</v>
      </c>
      <c r="F229" s="14">
        <f t="shared" si="24"/>
        <v>0.24763435454545452</v>
      </c>
      <c r="G229" s="14">
        <f t="shared" si="25"/>
        <v>0.10476838076923076</v>
      </c>
    </row>
    <row r="230" spans="1:8" ht="15.75" customHeight="1" outlineLevel="3" x14ac:dyDescent="0.25">
      <c r="A230" s="69" t="s">
        <v>29</v>
      </c>
      <c r="B230" s="11">
        <v>15000</v>
      </c>
      <c r="C230" s="12"/>
      <c r="D230" s="12"/>
      <c r="E230" s="12"/>
      <c r="F230" s="14">
        <v>0</v>
      </c>
      <c r="G230" s="14">
        <f t="shared" si="25"/>
        <v>0</v>
      </c>
    </row>
    <row r="231" spans="1:8" ht="15.75" customHeight="1" outlineLevel="3" x14ac:dyDescent="0.25">
      <c r="A231" s="69" t="s">
        <v>12</v>
      </c>
      <c r="B231" s="11">
        <v>5353600</v>
      </c>
      <c r="C231" s="11">
        <v>2600000</v>
      </c>
      <c r="D231" s="11">
        <v>152924.14000000001</v>
      </c>
      <c r="E231" s="11">
        <v>152924.14000000001</v>
      </c>
      <c r="F231" s="14">
        <f t="shared" ref="F231:F262" si="26">D231/C231</f>
        <v>5.8816976923076927E-2</v>
      </c>
      <c r="G231" s="14">
        <f t="shared" si="25"/>
        <v>2.8564730274955173E-2</v>
      </c>
    </row>
    <row r="232" spans="1:8" ht="15.75" customHeight="1" outlineLevel="3" x14ac:dyDescent="0.25">
      <c r="A232" s="69" t="s">
        <v>13</v>
      </c>
      <c r="B232" s="11">
        <v>708003</v>
      </c>
      <c r="C232" s="11">
        <v>257811</v>
      </c>
      <c r="D232" s="11">
        <v>127607.79</v>
      </c>
      <c r="E232" s="11">
        <v>127607.79</v>
      </c>
      <c r="F232" s="14">
        <f t="shared" si="26"/>
        <v>0.49496642889558629</v>
      </c>
      <c r="G232" s="14">
        <f t="shared" si="25"/>
        <v>0.18023622781259402</v>
      </c>
    </row>
    <row r="233" spans="1:8" ht="15.75" customHeight="1" outlineLevel="3" x14ac:dyDescent="0.25">
      <c r="A233" s="69" t="s">
        <v>14</v>
      </c>
      <c r="B233" s="11">
        <v>95502</v>
      </c>
      <c r="C233" s="11">
        <v>32576</v>
      </c>
      <c r="D233" s="11">
        <v>26242.880000000001</v>
      </c>
      <c r="E233" s="11">
        <v>26242.880000000001</v>
      </c>
      <c r="F233" s="14">
        <f t="shared" si="26"/>
        <v>0.8055893909626719</v>
      </c>
      <c r="G233" s="14">
        <f t="shared" si="25"/>
        <v>0.27478880023455005</v>
      </c>
    </row>
    <row r="234" spans="1:8" ht="15.75" customHeight="1" outlineLevel="3" x14ac:dyDescent="0.25">
      <c r="A234" s="69" t="s">
        <v>15</v>
      </c>
      <c r="B234" s="11">
        <v>960000</v>
      </c>
      <c r="C234" s="11">
        <v>449374</v>
      </c>
      <c r="D234" s="11">
        <v>449374</v>
      </c>
      <c r="E234" s="11">
        <v>449374</v>
      </c>
      <c r="F234" s="14">
        <f t="shared" si="26"/>
        <v>1</v>
      </c>
      <c r="G234" s="14">
        <f t="shared" si="25"/>
        <v>0.46809791666666667</v>
      </c>
    </row>
    <row r="235" spans="1:8" ht="15.75" customHeight="1" outlineLevel="3" x14ac:dyDescent="0.25">
      <c r="A235" s="69" t="s">
        <v>26</v>
      </c>
      <c r="B235" s="11">
        <v>31274</v>
      </c>
      <c r="C235" s="11">
        <v>10400</v>
      </c>
      <c r="D235" s="11">
        <v>6701.59</v>
      </c>
      <c r="E235" s="11">
        <v>6701.59</v>
      </c>
      <c r="F235" s="14">
        <f t="shared" si="26"/>
        <v>0.64438365384615381</v>
      </c>
      <c r="G235" s="14">
        <f t="shared" si="25"/>
        <v>0.21428630811536739</v>
      </c>
    </row>
    <row r="236" spans="1:8" ht="28.5" customHeight="1" outlineLevel="3" x14ac:dyDescent="0.25">
      <c r="A236" s="69" t="s">
        <v>16</v>
      </c>
      <c r="B236" s="11">
        <v>3000</v>
      </c>
      <c r="C236" s="11">
        <v>3000</v>
      </c>
      <c r="D236" s="12"/>
      <c r="E236" s="12"/>
      <c r="F236" s="14">
        <f t="shared" si="26"/>
        <v>0</v>
      </c>
      <c r="G236" s="14">
        <f t="shared" si="25"/>
        <v>0</v>
      </c>
    </row>
    <row r="237" spans="1:8" s="18" customFormat="1" ht="32.25" customHeight="1" outlineLevel="1" x14ac:dyDescent="0.2">
      <c r="A237" s="70" t="s">
        <v>69</v>
      </c>
      <c r="B237" s="22">
        <v>612463800</v>
      </c>
      <c r="C237" s="22">
        <v>280994760</v>
      </c>
      <c r="D237" s="22">
        <v>280994760</v>
      </c>
      <c r="E237" s="22">
        <v>279262373.13</v>
      </c>
      <c r="F237" s="23">
        <f t="shared" si="26"/>
        <v>1</v>
      </c>
      <c r="G237" s="23">
        <f t="shared" si="25"/>
        <v>0.45879407076793766</v>
      </c>
      <c r="H237" s="47"/>
    </row>
    <row r="238" spans="1:8" s="17" customFormat="1" ht="38.25" customHeight="1" outlineLevel="2" x14ac:dyDescent="0.2">
      <c r="A238" s="83" t="s">
        <v>107</v>
      </c>
      <c r="B238" s="9">
        <v>228573</v>
      </c>
      <c r="C238" s="9">
        <v>228573</v>
      </c>
      <c r="D238" s="9">
        <v>228573</v>
      </c>
      <c r="E238" s="9">
        <v>228573</v>
      </c>
      <c r="F238" s="16">
        <f t="shared" si="26"/>
        <v>1</v>
      </c>
      <c r="G238" s="16">
        <f t="shared" si="25"/>
        <v>1</v>
      </c>
    </row>
    <row r="239" spans="1:8" ht="26.25" customHeight="1" outlineLevel="3" x14ac:dyDescent="0.25">
      <c r="A239" s="69" t="s">
        <v>37</v>
      </c>
      <c r="B239" s="11">
        <v>228573</v>
      </c>
      <c r="C239" s="11">
        <v>228573</v>
      </c>
      <c r="D239" s="11">
        <v>228573</v>
      </c>
      <c r="E239" s="11">
        <v>228573</v>
      </c>
      <c r="F239" s="14">
        <f t="shared" si="26"/>
        <v>1</v>
      </c>
      <c r="G239" s="14">
        <f t="shared" si="25"/>
        <v>1</v>
      </c>
    </row>
    <row r="240" spans="1:8" s="17" customFormat="1" ht="18" customHeight="1" outlineLevel="2" x14ac:dyDescent="0.2">
      <c r="A240" s="83" t="s">
        <v>108</v>
      </c>
      <c r="B240" s="9">
        <v>89105</v>
      </c>
      <c r="C240" s="9">
        <v>89105</v>
      </c>
      <c r="D240" s="9">
        <v>89105</v>
      </c>
      <c r="E240" s="9">
        <v>89105</v>
      </c>
      <c r="F240" s="16">
        <f t="shared" si="26"/>
        <v>1</v>
      </c>
      <c r="G240" s="16">
        <f t="shared" si="25"/>
        <v>1</v>
      </c>
    </row>
    <row r="241" spans="1:7" ht="26.25" customHeight="1" outlineLevel="3" x14ac:dyDescent="0.25">
      <c r="A241" s="69" t="s">
        <v>37</v>
      </c>
      <c r="B241" s="11">
        <v>89105</v>
      </c>
      <c r="C241" s="11">
        <v>89105</v>
      </c>
      <c r="D241" s="11">
        <v>89105</v>
      </c>
      <c r="E241" s="11">
        <v>89105</v>
      </c>
      <c r="F241" s="14">
        <f t="shared" si="26"/>
        <v>1</v>
      </c>
      <c r="G241" s="14">
        <f t="shared" si="25"/>
        <v>1</v>
      </c>
    </row>
    <row r="242" spans="1:7" s="17" customFormat="1" ht="23.25" customHeight="1" outlineLevel="2" x14ac:dyDescent="0.2">
      <c r="A242" s="83" t="s">
        <v>109</v>
      </c>
      <c r="B242" s="9">
        <v>193706</v>
      </c>
      <c r="C242" s="9">
        <v>193706</v>
      </c>
      <c r="D242" s="9">
        <v>193706</v>
      </c>
      <c r="E242" s="9">
        <v>182790.13</v>
      </c>
      <c r="F242" s="16">
        <f t="shared" si="26"/>
        <v>1</v>
      </c>
      <c r="G242" s="16">
        <f t="shared" si="25"/>
        <v>1</v>
      </c>
    </row>
    <row r="243" spans="1:7" ht="23.25" customHeight="1" outlineLevel="3" x14ac:dyDescent="0.25">
      <c r="A243" s="69" t="s">
        <v>37</v>
      </c>
      <c r="B243" s="11">
        <v>193706</v>
      </c>
      <c r="C243" s="11">
        <v>193706</v>
      </c>
      <c r="D243" s="11">
        <v>193706</v>
      </c>
      <c r="E243" s="11">
        <v>182790.13</v>
      </c>
      <c r="F243" s="14">
        <f t="shared" si="26"/>
        <v>1</v>
      </c>
      <c r="G243" s="14">
        <f t="shared" si="25"/>
        <v>1</v>
      </c>
    </row>
    <row r="244" spans="1:7" s="17" customFormat="1" ht="23.25" customHeight="1" outlineLevel="2" x14ac:dyDescent="0.2">
      <c r="A244" s="83" t="s">
        <v>110</v>
      </c>
      <c r="B244" s="9">
        <v>151091</v>
      </c>
      <c r="C244" s="9">
        <v>151091</v>
      </c>
      <c r="D244" s="9">
        <v>151091</v>
      </c>
      <c r="E244" s="9">
        <v>151091</v>
      </c>
      <c r="F244" s="16">
        <f t="shared" si="26"/>
        <v>1</v>
      </c>
      <c r="G244" s="16">
        <f t="shared" si="25"/>
        <v>1</v>
      </c>
    </row>
    <row r="245" spans="1:7" ht="23.25" customHeight="1" outlineLevel="3" x14ac:dyDescent="0.25">
      <c r="A245" s="69" t="s">
        <v>37</v>
      </c>
      <c r="B245" s="11">
        <v>151091</v>
      </c>
      <c r="C245" s="11">
        <v>151091</v>
      </c>
      <c r="D245" s="11">
        <v>151091</v>
      </c>
      <c r="E245" s="11">
        <v>151091</v>
      </c>
      <c r="F245" s="14">
        <f t="shared" si="26"/>
        <v>1</v>
      </c>
      <c r="G245" s="14">
        <f t="shared" si="25"/>
        <v>1</v>
      </c>
    </row>
    <row r="246" spans="1:7" s="17" customFormat="1" ht="23.25" customHeight="1" outlineLevel="2" x14ac:dyDescent="0.2">
      <c r="A246" s="83" t="s">
        <v>111</v>
      </c>
      <c r="B246" s="9">
        <v>1562777</v>
      </c>
      <c r="C246" s="9">
        <v>1562777</v>
      </c>
      <c r="D246" s="9">
        <v>1562777</v>
      </c>
      <c r="E246" s="9">
        <v>1562777</v>
      </c>
      <c r="F246" s="16">
        <f t="shared" si="26"/>
        <v>1</v>
      </c>
      <c r="G246" s="16">
        <f t="shared" si="25"/>
        <v>1</v>
      </c>
    </row>
    <row r="247" spans="1:7" ht="23.25" customHeight="1" outlineLevel="3" x14ac:dyDescent="0.25">
      <c r="A247" s="69" t="s">
        <v>37</v>
      </c>
      <c r="B247" s="11">
        <v>1562777</v>
      </c>
      <c r="C247" s="11">
        <v>1562777</v>
      </c>
      <c r="D247" s="11">
        <v>1562777</v>
      </c>
      <c r="E247" s="11">
        <v>1562777</v>
      </c>
      <c r="F247" s="14">
        <f t="shared" si="26"/>
        <v>1</v>
      </c>
      <c r="G247" s="14">
        <f t="shared" si="25"/>
        <v>1</v>
      </c>
    </row>
    <row r="248" spans="1:7" s="17" customFormat="1" ht="23.25" customHeight="1" outlineLevel="2" x14ac:dyDescent="0.2">
      <c r="A248" s="83" t="s">
        <v>112</v>
      </c>
      <c r="B248" s="9">
        <v>6171473</v>
      </c>
      <c r="C248" s="9">
        <v>6171473</v>
      </c>
      <c r="D248" s="9">
        <v>6171473</v>
      </c>
      <c r="E248" s="9">
        <v>4673692</v>
      </c>
      <c r="F248" s="16">
        <f t="shared" si="26"/>
        <v>1</v>
      </c>
      <c r="G248" s="16">
        <f t="shared" si="25"/>
        <v>1</v>
      </c>
    </row>
    <row r="249" spans="1:7" ht="23.25" customHeight="1" outlineLevel="3" x14ac:dyDescent="0.25">
      <c r="A249" s="69" t="s">
        <v>37</v>
      </c>
      <c r="B249" s="11">
        <v>6171473</v>
      </c>
      <c r="C249" s="11">
        <v>6171473</v>
      </c>
      <c r="D249" s="11">
        <v>6171473</v>
      </c>
      <c r="E249" s="11">
        <v>4673692</v>
      </c>
      <c r="F249" s="14">
        <f t="shared" si="26"/>
        <v>1</v>
      </c>
      <c r="G249" s="14">
        <f t="shared" si="25"/>
        <v>1</v>
      </c>
    </row>
    <row r="250" spans="1:7" s="17" customFormat="1" ht="27.75" customHeight="1" outlineLevel="2" x14ac:dyDescent="0.2">
      <c r="A250" s="83" t="s">
        <v>28</v>
      </c>
      <c r="B250" s="9">
        <v>23074964</v>
      </c>
      <c r="C250" s="9">
        <v>10465640</v>
      </c>
      <c r="D250" s="9">
        <v>10465640</v>
      </c>
      <c r="E250" s="9">
        <v>10465640</v>
      </c>
      <c r="F250" s="16">
        <f t="shared" si="26"/>
        <v>1</v>
      </c>
      <c r="G250" s="16">
        <f t="shared" si="25"/>
        <v>0.45354957000149598</v>
      </c>
    </row>
    <row r="251" spans="1:7" ht="13.5" customHeight="1" outlineLevel="3" x14ac:dyDescent="0.25">
      <c r="A251" s="69" t="s">
        <v>9</v>
      </c>
      <c r="B251" s="11">
        <v>18913905</v>
      </c>
      <c r="C251" s="11">
        <v>8578393</v>
      </c>
      <c r="D251" s="11">
        <v>8578393</v>
      </c>
      <c r="E251" s="11">
        <v>8578393</v>
      </c>
      <c r="F251" s="14">
        <f t="shared" si="26"/>
        <v>1</v>
      </c>
      <c r="G251" s="14">
        <f t="shared" si="25"/>
        <v>0.45354954463396108</v>
      </c>
    </row>
    <row r="252" spans="1:7" ht="13.5" customHeight="1" outlineLevel="3" x14ac:dyDescent="0.25">
      <c r="A252" s="69" t="s">
        <v>10</v>
      </c>
      <c r="B252" s="11">
        <v>4161059</v>
      </c>
      <c r="C252" s="11">
        <v>1887247</v>
      </c>
      <c r="D252" s="11">
        <v>1887247</v>
      </c>
      <c r="E252" s="11">
        <v>1887247</v>
      </c>
      <c r="F252" s="14">
        <f t="shared" si="26"/>
        <v>1</v>
      </c>
      <c r="G252" s="14">
        <f t="shared" si="25"/>
        <v>0.45354968530847556</v>
      </c>
    </row>
    <row r="253" spans="1:7" s="17" customFormat="1" ht="24" customHeight="1" outlineLevel="2" x14ac:dyDescent="0.2">
      <c r="A253" s="83" t="s">
        <v>115</v>
      </c>
      <c r="B253" s="9">
        <v>244070</v>
      </c>
      <c r="C253" s="9">
        <v>244070</v>
      </c>
      <c r="D253" s="9">
        <v>244070</v>
      </c>
      <c r="E253" s="9">
        <v>244070</v>
      </c>
      <c r="F253" s="16">
        <f t="shared" si="26"/>
        <v>1</v>
      </c>
      <c r="G253" s="16">
        <f t="shared" si="25"/>
        <v>1</v>
      </c>
    </row>
    <row r="254" spans="1:7" ht="24" customHeight="1" outlineLevel="3" x14ac:dyDescent="0.25">
      <c r="A254" s="69" t="s">
        <v>37</v>
      </c>
      <c r="B254" s="11">
        <v>244070</v>
      </c>
      <c r="C254" s="11">
        <v>244070</v>
      </c>
      <c r="D254" s="11">
        <v>244070</v>
      </c>
      <c r="E254" s="11">
        <v>244070</v>
      </c>
      <c r="F254" s="14">
        <f t="shared" si="26"/>
        <v>1</v>
      </c>
      <c r="G254" s="14">
        <f t="shared" si="25"/>
        <v>1</v>
      </c>
    </row>
    <row r="255" spans="1:7" s="17" customFormat="1" ht="15.75" customHeight="1" outlineLevel="2" x14ac:dyDescent="0.2">
      <c r="A255" s="83" t="s">
        <v>33</v>
      </c>
      <c r="B255" s="9">
        <v>28492178</v>
      </c>
      <c r="C255" s="9">
        <v>12922615</v>
      </c>
      <c r="D255" s="9">
        <v>12922615</v>
      </c>
      <c r="E255" s="9">
        <v>12922615</v>
      </c>
      <c r="F255" s="16">
        <f t="shared" si="26"/>
        <v>1</v>
      </c>
      <c r="G255" s="16">
        <f t="shared" si="25"/>
        <v>0.45354956718296507</v>
      </c>
    </row>
    <row r="256" spans="1:7" ht="15.75" customHeight="1" outlineLevel="3" x14ac:dyDescent="0.25">
      <c r="A256" s="69" t="s">
        <v>9</v>
      </c>
      <c r="B256" s="11">
        <v>23354244</v>
      </c>
      <c r="C256" s="11">
        <v>10592307</v>
      </c>
      <c r="D256" s="11">
        <v>10592307</v>
      </c>
      <c r="E256" s="11">
        <v>10592307</v>
      </c>
      <c r="F256" s="14">
        <f t="shared" si="26"/>
        <v>1</v>
      </c>
      <c r="G256" s="14">
        <f t="shared" si="25"/>
        <v>0.45354955613206749</v>
      </c>
    </row>
    <row r="257" spans="1:7" ht="15.75" customHeight="1" outlineLevel="3" x14ac:dyDescent="0.25">
      <c r="A257" s="69" t="s">
        <v>10</v>
      </c>
      <c r="B257" s="11">
        <v>5137934</v>
      </c>
      <c r="C257" s="11">
        <v>2330308</v>
      </c>
      <c r="D257" s="11">
        <v>2330308</v>
      </c>
      <c r="E257" s="11">
        <v>2330308</v>
      </c>
      <c r="F257" s="14">
        <f t="shared" si="26"/>
        <v>1</v>
      </c>
      <c r="G257" s="14">
        <f t="shared" si="25"/>
        <v>0.45354961741431477</v>
      </c>
    </row>
    <row r="258" spans="1:7" s="17" customFormat="1" ht="15" customHeight="1" outlineLevel="2" x14ac:dyDescent="0.2">
      <c r="A258" s="83" t="s">
        <v>30</v>
      </c>
      <c r="B258" s="9">
        <v>26498057</v>
      </c>
      <c r="C258" s="9">
        <v>12018181</v>
      </c>
      <c r="D258" s="9">
        <v>12018181</v>
      </c>
      <c r="E258" s="9">
        <v>12018181</v>
      </c>
      <c r="F258" s="16">
        <f t="shared" si="26"/>
        <v>1</v>
      </c>
      <c r="G258" s="16">
        <f t="shared" si="25"/>
        <v>0.45354951874395921</v>
      </c>
    </row>
    <row r="259" spans="1:7" ht="15" customHeight="1" outlineLevel="3" x14ac:dyDescent="0.25">
      <c r="A259" s="69" t="s">
        <v>9</v>
      </c>
      <c r="B259" s="11">
        <v>21719719</v>
      </c>
      <c r="C259" s="11">
        <v>9850968</v>
      </c>
      <c r="D259" s="11">
        <v>9850968</v>
      </c>
      <c r="E259" s="11">
        <v>9850968</v>
      </c>
      <c r="F259" s="14">
        <f t="shared" si="26"/>
        <v>1</v>
      </c>
      <c r="G259" s="14">
        <f t="shared" si="25"/>
        <v>0.453549514153475</v>
      </c>
    </row>
    <row r="260" spans="1:7" ht="15" customHeight="1" outlineLevel="3" x14ac:dyDescent="0.25">
      <c r="A260" s="69" t="s">
        <v>10</v>
      </c>
      <c r="B260" s="11">
        <v>4778338</v>
      </c>
      <c r="C260" s="11">
        <v>2167213</v>
      </c>
      <c r="D260" s="11">
        <v>2167213</v>
      </c>
      <c r="E260" s="11">
        <v>2167213</v>
      </c>
      <c r="F260" s="14">
        <f t="shared" si="26"/>
        <v>1</v>
      </c>
      <c r="G260" s="14">
        <f t="shared" si="25"/>
        <v>0.45354953960979738</v>
      </c>
    </row>
    <row r="261" spans="1:7" s="17" customFormat="1" ht="15" customHeight="1" outlineLevel="2" x14ac:dyDescent="0.2">
      <c r="A261" s="83" t="s">
        <v>35</v>
      </c>
      <c r="B261" s="9">
        <v>17429279</v>
      </c>
      <c r="C261" s="9">
        <v>7905043</v>
      </c>
      <c r="D261" s="9">
        <v>7905043</v>
      </c>
      <c r="E261" s="9">
        <v>7905043</v>
      </c>
      <c r="F261" s="16">
        <f t="shared" si="26"/>
        <v>1</v>
      </c>
      <c r="G261" s="16">
        <f t="shared" si="25"/>
        <v>0.45354962761224948</v>
      </c>
    </row>
    <row r="262" spans="1:7" ht="15" customHeight="1" outlineLevel="3" x14ac:dyDescent="0.25">
      <c r="A262" s="69" t="s">
        <v>9</v>
      </c>
      <c r="B262" s="11">
        <v>14286294</v>
      </c>
      <c r="C262" s="11">
        <v>6479543</v>
      </c>
      <c r="D262" s="11">
        <v>6479543</v>
      </c>
      <c r="E262" s="11">
        <v>6479543</v>
      </c>
      <c r="F262" s="14">
        <f t="shared" si="26"/>
        <v>1</v>
      </c>
      <c r="G262" s="14">
        <f t="shared" si="25"/>
        <v>0.45354960495703084</v>
      </c>
    </row>
    <row r="263" spans="1:7" ht="15" customHeight="1" outlineLevel="3" x14ac:dyDescent="0.25">
      <c r="A263" s="69" t="s">
        <v>10</v>
      </c>
      <c r="B263" s="11">
        <v>3142985</v>
      </c>
      <c r="C263" s="11">
        <v>1425500</v>
      </c>
      <c r="D263" s="11">
        <v>1425500</v>
      </c>
      <c r="E263" s="11">
        <v>1425500</v>
      </c>
      <c r="F263" s="14">
        <f t="shared" ref="F263:F294" si="27">D263/C263</f>
        <v>1</v>
      </c>
      <c r="G263" s="14">
        <f t="shared" si="25"/>
        <v>0.45354973059050552</v>
      </c>
    </row>
    <row r="264" spans="1:7" s="17" customFormat="1" ht="28.5" customHeight="1" outlineLevel="2" x14ac:dyDescent="0.2">
      <c r="A264" s="83" t="s">
        <v>23</v>
      </c>
      <c r="B264" s="9">
        <v>506012611</v>
      </c>
      <c r="C264" s="9">
        <v>226726570</v>
      </c>
      <c r="D264" s="9">
        <v>226726570</v>
      </c>
      <c r="E264" s="9">
        <v>226502880</v>
      </c>
      <c r="F264" s="16">
        <f t="shared" si="27"/>
        <v>1</v>
      </c>
      <c r="G264" s="16">
        <f t="shared" si="25"/>
        <v>0.4480650582046462</v>
      </c>
    </row>
    <row r="265" spans="1:7" ht="12.75" customHeight="1" outlineLevel="3" x14ac:dyDescent="0.25">
      <c r="A265" s="69" t="s">
        <v>9</v>
      </c>
      <c r="B265" s="11">
        <v>407951336</v>
      </c>
      <c r="C265" s="11">
        <v>185658100</v>
      </c>
      <c r="D265" s="11">
        <v>185658100</v>
      </c>
      <c r="E265" s="11">
        <v>185658100</v>
      </c>
      <c r="F265" s="14">
        <f t="shared" si="27"/>
        <v>1</v>
      </c>
      <c r="G265" s="14">
        <f t="shared" si="25"/>
        <v>0.45509864441282283</v>
      </c>
    </row>
    <row r="266" spans="1:7" ht="12.75" customHeight="1" outlineLevel="3" x14ac:dyDescent="0.25">
      <c r="A266" s="69" t="s">
        <v>10</v>
      </c>
      <c r="B266" s="11">
        <v>89749293</v>
      </c>
      <c r="C266" s="11">
        <v>40844780</v>
      </c>
      <c r="D266" s="11">
        <v>40844780</v>
      </c>
      <c r="E266" s="11">
        <v>40844780</v>
      </c>
      <c r="F266" s="14">
        <f t="shared" si="27"/>
        <v>1</v>
      </c>
      <c r="G266" s="14">
        <f t="shared" si="25"/>
        <v>0.45509862679363949</v>
      </c>
    </row>
    <row r="267" spans="1:7" ht="24.75" customHeight="1" outlineLevel="3" x14ac:dyDescent="0.25">
      <c r="A267" s="69" t="s">
        <v>37</v>
      </c>
      <c r="B267" s="11">
        <v>8311982</v>
      </c>
      <c r="C267" s="11">
        <v>223690</v>
      </c>
      <c r="D267" s="11">
        <v>223690</v>
      </c>
      <c r="E267" s="12"/>
      <c r="F267" s="14">
        <f t="shared" si="27"/>
        <v>1</v>
      </c>
      <c r="G267" s="14">
        <f t="shared" si="25"/>
        <v>2.6911752215055325E-2</v>
      </c>
    </row>
    <row r="268" spans="1:7" s="17" customFormat="1" ht="24.75" customHeight="1" outlineLevel="2" x14ac:dyDescent="0.2">
      <c r="A268" s="83" t="s">
        <v>113</v>
      </c>
      <c r="B268" s="9">
        <v>831765</v>
      </c>
      <c r="C268" s="9">
        <v>831765</v>
      </c>
      <c r="D268" s="9">
        <v>831765</v>
      </c>
      <c r="E268" s="9">
        <v>831765</v>
      </c>
      <c r="F268" s="16">
        <f t="shared" si="27"/>
        <v>1</v>
      </c>
      <c r="G268" s="16">
        <f t="shared" si="25"/>
        <v>1</v>
      </c>
    </row>
    <row r="269" spans="1:7" ht="24.75" customHeight="1" outlineLevel="3" x14ac:dyDescent="0.25">
      <c r="A269" s="69" t="s">
        <v>37</v>
      </c>
      <c r="B269" s="11">
        <v>831765</v>
      </c>
      <c r="C269" s="11">
        <v>831765</v>
      </c>
      <c r="D269" s="11">
        <v>831765</v>
      </c>
      <c r="E269" s="11">
        <v>831765</v>
      </c>
      <c r="F269" s="14">
        <f t="shared" si="27"/>
        <v>1</v>
      </c>
      <c r="G269" s="14">
        <f t="shared" si="25"/>
        <v>1</v>
      </c>
    </row>
    <row r="270" spans="1:7" s="17" customFormat="1" ht="15" customHeight="1" outlineLevel="2" x14ac:dyDescent="0.2">
      <c r="A270" s="83" t="s">
        <v>114</v>
      </c>
      <c r="B270" s="9">
        <v>403272</v>
      </c>
      <c r="C270" s="9">
        <v>403272</v>
      </c>
      <c r="D270" s="9">
        <v>403272</v>
      </c>
      <c r="E270" s="9">
        <v>403272</v>
      </c>
      <c r="F270" s="16">
        <f t="shared" si="27"/>
        <v>1</v>
      </c>
      <c r="G270" s="16">
        <f t="shared" si="25"/>
        <v>1</v>
      </c>
    </row>
    <row r="271" spans="1:7" ht="24.75" customHeight="1" outlineLevel="3" x14ac:dyDescent="0.25">
      <c r="A271" s="69" t="s">
        <v>37</v>
      </c>
      <c r="B271" s="11">
        <v>403272</v>
      </c>
      <c r="C271" s="11">
        <v>403272</v>
      </c>
      <c r="D271" s="11">
        <v>403272</v>
      </c>
      <c r="E271" s="11">
        <v>403272</v>
      </c>
      <c r="F271" s="14">
        <f t="shared" si="27"/>
        <v>1</v>
      </c>
      <c r="G271" s="14">
        <f t="shared" si="25"/>
        <v>1</v>
      </c>
    </row>
    <row r="272" spans="1:7" s="17" customFormat="1" ht="15.75" customHeight="1" outlineLevel="2" x14ac:dyDescent="0.2">
      <c r="A272" s="83" t="s">
        <v>134</v>
      </c>
      <c r="B272" s="9">
        <v>1080879</v>
      </c>
      <c r="C272" s="9">
        <v>1080879</v>
      </c>
      <c r="D272" s="9">
        <v>1080879</v>
      </c>
      <c r="E272" s="9">
        <v>1080879</v>
      </c>
      <c r="F272" s="16">
        <f t="shared" si="27"/>
        <v>1</v>
      </c>
      <c r="G272" s="16">
        <f t="shared" si="25"/>
        <v>1</v>
      </c>
    </row>
    <row r="273" spans="1:8" ht="24.75" customHeight="1" outlineLevel="3" x14ac:dyDescent="0.25">
      <c r="A273" s="69" t="s">
        <v>37</v>
      </c>
      <c r="B273" s="11">
        <v>1080879</v>
      </c>
      <c r="C273" s="11">
        <v>1080879</v>
      </c>
      <c r="D273" s="11">
        <v>1080879</v>
      </c>
      <c r="E273" s="11">
        <v>1080879</v>
      </c>
      <c r="F273" s="14">
        <f t="shared" si="27"/>
        <v>1</v>
      </c>
      <c r="G273" s="14">
        <f t="shared" si="25"/>
        <v>1</v>
      </c>
    </row>
    <row r="274" spans="1:8" s="18" customFormat="1" ht="65.25" customHeight="1" outlineLevel="1" x14ac:dyDescent="0.2">
      <c r="A274" s="70" t="s">
        <v>70</v>
      </c>
      <c r="B274" s="22">
        <v>33481509</v>
      </c>
      <c r="C274" s="22">
        <v>15229040</v>
      </c>
      <c r="D274" s="22">
        <v>15229040</v>
      </c>
      <c r="E274" s="22">
        <v>15229040</v>
      </c>
      <c r="F274" s="23">
        <f t="shared" si="27"/>
        <v>1</v>
      </c>
      <c r="G274" s="23">
        <f t="shared" si="25"/>
        <v>0.45484927217587473</v>
      </c>
      <c r="H274" s="47"/>
    </row>
    <row r="275" spans="1:8" s="17" customFormat="1" ht="27" customHeight="1" outlineLevel="2" x14ac:dyDescent="0.2">
      <c r="A275" s="83" t="s">
        <v>23</v>
      </c>
      <c r="B275" s="9">
        <v>33481509</v>
      </c>
      <c r="C275" s="9">
        <v>15229040</v>
      </c>
      <c r="D275" s="9">
        <v>15229040</v>
      </c>
      <c r="E275" s="9">
        <v>15229040</v>
      </c>
      <c r="F275" s="16">
        <f t="shared" si="27"/>
        <v>1</v>
      </c>
      <c r="G275" s="16">
        <f t="shared" si="25"/>
        <v>0.45484927217587473</v>
      </c>
    </row>
    <row r="276" spans="1:8" ht="12.75" customHeight="1" outlineLevel="3" x14ac:dyDescent="0.25">
      <c r="A276" s="69" t="s">
        <v>9</v>
      </c>
      <c r="B276" s="11">
        <v>27443860</v>
      </c>
      <c r="C276" s="11">
        <v>12482820</v>
      </c>
      <c r="D276" s="11">
        <v>12482820</v>
      </c>
      <c r="E276" s="11">
        <v>12482820</v>
      </c>
      <c r="F276" s="14">
        <f t="shared" si="27"/>
        <v>1</v>
      </c>
      <c r="G276" s="14">
        <f t="shared" si="25"/>
        <v>0.45484928140574976</v>
      </c>
    </row>
    <row r="277" spans="1:8" ht="12.75" customHeight="1" outlineLevel="3" x14ac:dyDescent="0.25">
      <c r="A277" s="69" t="s">
        <v>10</v>
      </c>
      <c r="B277" s="11">
        <v>6037649</v>
      </c>
      <c r="C277" s="11">
        <v>2746220</v>
      </c>
      <c r="D277" s="11">
        <v>2746220</v>
      </c>
      <c r="E277" s="11">
        <v>2746220</v>
      </c>
      <c r="F277" s="14">
        <f t="shared" si="27"/>
        <v>1</v>
      </c>
      <c r="G277" s="14">
        <f t="shared" si="25"/>
        <v>0.45484923022189599</v>
      </c>
    </row>
    <row r="278" spans="1:8" s="18" customFormat="1" ht="37.5" customHeight="1" outlineLevel="1" x14ac:dyDescent="0.2">
      <c r="A278" s="70" t="s">
        <v>71</v>
      </c>
      <c r="B278" s="22">
        <v>17087832</v>
      </c>
      <c r="C278" s="22">
        <v>7772388</v>
      </c>
      <c r="D278" s="22">
        <v>7772388</v>
      </c>
      <c r="E278" s="22">
        <v>7772388</v>
      </c>
      <c r="F278" s="23">
        <f t="shared" si="27"/>
        <v>1</v>
      </c>
      <c r="G278" s="23">
        <f t="shared" si="25"/>
        <v>0.45484927520354834</v>
      </c>
      <c r="H278" s="47"/>
    </row>
    <row r="279" spans="1:8" s="17" customFormat="1" ht="27.75" customHeight="1" outlineLevel="2" x14ac:dyDescent="0.2">
      <c r="A279" s="83" t="s">
        <v>23</v>
      </c>
      <c r="B279" s="9">
        <v>10746245</v>
      </c>
      <c r="C279" s="9">
        <v>4888055</v>
      </c>
      <c r="D279" s="9">
        <v>4888055</v>
      </c>
      <c r="E279" s="9">
        <v>4888055</v>
      </c>
      <c r="F279" s="16">
        <f t="shared" si="27"/>
        <v>1</v>
      </c>
      <c r="G279" s="16">
        <f t="shared" si="25"/>
        <v>0.45486167493854829</v>
      </c>
    </row>
    <row r="280" spans="1:8" ht="15" customHeight="1" outlineLevel="3" x14ac:dyDescent="0.25">
      <c r="A280" s="69" t="s">
        <v>9</v>
      </c>
      <c r="B280" s="11">
        <v>8808397</v>
      </c>
      <c r="C280" s="11">
        <v>4006601</v>
      </c>
      <c r="D280" s="11">
        <v>4006601</v>
      </c>
      <c r="E280" s="11">
        <v>4006601</v>
      </c>
      <c r="F280" s="14">
        <f t="shared" si="27"/>
        <v>1</v>
      </c>
      <c r="G280" s="14">
        <f t="shared" si="25"/>
        <v>0.45486153723543571</v>
      </c>
    </row>
    <row r="281" spans="1:8" ht="15" customHeight="1" outlineLevel="3" x14ac:dyDescent="0.25">
      <c r="A281" s="69" t="s">
        <v>10</v>
      </c>
      <c r="B281" s="11">
        <v>1937848</v>
      </c>
      <c r="C281" s="11">
        <v>881454</v>
      </c>
      <c r="D281" s="11">
        <v>881454</v>
      </c>
      <c r="E281" s="11">
        <v>881454</v>
      </c>
      <c r="F281" s="14">
        <f t="shared" si="27"/>
        <v>1</v>
      </c>
      <c r="G281" s="14">
        <f t="shared" si="25"/>
        <v>0.45486230086157431</v>
      </c>
    </row>
    <row r="282" spans="1:8" ht="18" customHeight="1" outlineLevel="2" x14ac:dyDescent="0.25">
      <c r="A282" s="68" t="s">
        <v>36</v>
      </c>
      <c r="B282" s="6">
        <v>6341587</v>
      </c>
      <c r="C282" s="6">
        <v>2884333</v>
      </c>
      <c r="D282" s="6">
        <v>2884333</v>
      </c>
      <c r="E282" s="6">
        <v>2884333</v>
      </c>
      <c r="F282" s="7">
        <f t="shared" si="27"/>
        <v>1</v>
      </c>
      <c r="G282" s="7">
        <f t="shared" si="25"/>
        <v>0.45482826301996643</v>
      </c>
    </row>
    <row r="283" spans="1:8" ht="14.25" customHeight="1" outlineLevel="3" x14ac:dyDescent="0.25">
      <c r="A283" s="69" t="s">
        <v>9</v>
      </c>
      <c r="B283" s="11">
        <v>5198023</v>
      </c>
      <c r="C283" s="11">
        <v>2364208</v>
      </c>
      <c r="D283" s="11">
        <v>2364208</v>
      </c>
      <c r="E283" s="11">
        <v>2364208</v>
      </c>
      <c r="F283" s="14">
        <f t="shared" si="27"/>
        <v>1</v>
      </c>
      <c r="G283" s="14">
        <f t="shared" si="25"/>
        <v>0.45482830683896552</v>
      </c>
    </row>
    <row r="284" spans="1:8" ht="14.25" customHeight="1" outlineLevel="3" x14ac:dyDescent="0.25">
      <c r="A284" s="69" t="s">
        <v>10</v>
      </c>
      <c r="B284" s="11">
        <v>1143564</v>
      </c>
      <c r="C284" s="11">
        <v>520125</v>
      </c>
      <c r="D284" s="11">
        <v>520125</v>
      </c>
      <c r="E284" s="11">
        <v>520125</v>
      </c>
      <c r="F284" s="14">
        <f t="shared" si="27"/>
        <v>1</v>
      </c>
      <c r="G284" s="14">
        <f t="shared" ref="G284:G347" si="28">D284/B284</f>
        <v>0.4548280638425134</v>
      </c>
    </row>
    <row r="285" spans="1:8" s="18" customFormat="1" ht="28.5" customHeight="1" outlineLevel="1" x14ac:dyDescent="0.2">
      <c r="A285" s="70" t="s">
        <v>72</v>
      </c>
      <c r="B285" s="22">
        <f>B286+B289+B299+B302+B312</f>
        <v>124761433</v>
      </c>
      <c r="C285" s="22">
        <f t="shared" ref="C285:E285" si="29">C286+C289+C299+C302+C312</f>
        <v>40084172</v>
      </c>
      <c r="D285" s="22">
        <f t="shared" si="29"/>
        <v>33365992.84</v>
      </c>
      <c r="E285" s="22">
        <f t="shared" si="29"/>
        <v>33284567.100000001</v>
      </c>
      <c r="F285" s="23">
        <f t="shared" si="27"/>
        <v>0.83239820545625842</v>
      </c>
      <c r="G285" s="23">
        <f t="shared" si="28"/>
        <v>0.26743835845489206</v>
      </c>
      <c r="H285" s="47"/>
    </row>
    <row r="286" spans="1:8" s="17" customFormat="1" ht="26.25" customHeight="1" outlineLevel="2" x14ac:dyDescent="0.2">
      <c r="A286" s="83" t="s">
        <v>28</v>
      </c>
      <c r="B286" s="9">
        <v>7002312</v>
      </c>
      <c r="C286" s="9">
        <v>2293600</v>
      </c>
      <c r="D286" s="9">
        <v>2287843.13</v>
      </c>
      <c r="E286" s="9">
        <v>2287843.13</v>
      </c>
      <c r="F286" s="16">
        <f t="shared" si="27"/>
        <v>0.99749002877572368</v>
      </c>
      <c r="G286" s="16">
        <f t="shared" si="28"/>
        <v>0.32672681965613642</v>
      </c>
    </row>
    <row r="287" spans="1:8" ht="12" customHeight="1" outlineLevel="3" x14ac:dyDescent="0.25">
      <c r="A287" s="69" t="s">
        <v>9</v>
      </c>
      <c r="B287" s="11">
        <v>5739600</v>
      </c>
      <c r="C287" s="11">
        <v>1880000</v>
      </c>
      <c r="D287" s="11">
        <v>1879999.19</v>
      </c>
      <c r="E287" s="11">
        <v>1879999.19</v>
      </c>
      <c r="F287" s="14">
        <f t="shared" si="27"/>
        <v>0.99999956914893617</v>
      </c>
      <c r="G287" s="14">
        <f t="shared" si="28"/>
        <v>0.32754881699073107</v>
      </c>
    </row>
    <row r="288" spans="1:8" ht="12" customHeight="1" outlineLevel="3" x14ac:dyDescent="0.25">
      <c r="A288" s="69" t="s">
        <v>10</v>
      </c>
      <c r="B288" s="11">
        <v>1262712</v>
      </c>
      <c r="C288" s="11">
        <v>413600</v>
      </c>
      <c r="D288" s="11">
        <v>407843.94</v>
      </c>
      <c r="E288" s="11">
        <v>407843.94</v>
      </c>
      <c r="F288" s="14">
        <f t="shared" si="27"/>
        <v>0.98608302707930373</v>
      </c>
      <c r="G288" s="14">
        <f t="shared" si="28"/>
        <v>0.32299046813525173</v>
      </c>
    </row>
    <row r="289" spans="1:7" s="17" customFormat="1" ht="24" customHeight="1" outlineLevel="2" x14ac:dyDescent="0.2">
      <c r="A289" s="83" t="s">
        <v>38</v>
      </c>
      <c r="B289" s="9">
        <v>19898733</v>
      </c>
      <c r="C289" s="9">
        <v>6448430</v>
      </c>
      <c r="D289" s="9">
        <v>5244044.03</v>
      </c>
      <c r="E289" s="9">
        <v>5244044.03</v>
      </c>
      <c r="F289" s="16">
        <f t="shared" si="27"/>
        <v>0.81322803069894534</v>
      </c>
      <c r="G289" s="16">
        <f t="shared" si="28"/>
        <v>0.26353657943950504</v>
      </c>
    </row>
    <row r="290" spans="1:7" ht="14.25" customHeight="1" outlineLevel="3" x14ac:dyDescent="0.25">
      <c r="A290" s="69" t="s">
        <v>9</v>
      </c>
      <c r="B290" s="11">
        <v>11768700</v>
      </c>
      <c r="C290" s="11">
        <v>3600000</v>
      </c>
      <c r="D290" s="11">
        <v>3565891.31</v>
      </c>
      <c r="E290" s="11">
        <v>3565891.31</v>
      </c>
      <c r="F290" s="14">
        <f t="shared" si="27"/>
        <v>0.9905253638888889</v>
      </c>
      <c r="G290" s="14">
        <f t="shared" si="28"/>
        <v>0.30299789356513462</v>
      </c>
    </row>
    <row r="291" spans="1:7" ht="14.25" customHeight="1" outlineLevel="3" x14ac:dyDescent="0.25">
      <c r="A291" s="69" t="s">
        <v>10</v>
      </c>
      <c r="B291" s="11">
        <v>2589114</v>
      </c>
      <c r="C291" s="11">
        <v>792000</v>
      </c>
      <c r="D291" s="11">
        <v>788291</v>
      </c>
      <c r="E291" s="11">
        <v>788291</v>
      </c>
      <c r="F291" s="14">
        <f t="shared" si="27"/>
        <v>0.99531691919191922</v>
      </c>
      <c r="G291" s="14">
        <f t="shared" si="28"/>
        <v>0.30446361187649518</v>
      </c>
    </row>
    <row r="292" spans="1:7" ht="14.25" customHeight="1" outlineLevel="3" x14ac:dyDescent="0.25">
      <c r="A292" s="69" t="s">
        <v>11</v>
      </c>
      <c r="B292" s="11">
        <v>974280</v>
      </c>
      <c r="C292" s="11">
        <v>300000</v>
      </c>
      <c r="D292" s="11">
        <v>128721.9</v>
      </c>
      <c r="E292" s="11">
        <v>128721.9</v>
      </c>
      <c r="F292" s="14">
        <f t="shared" si="27"/>
        <v>0.42907299999999998</v>
      </c>
      <c r="G292" s="14">
        <f t="shared" si="28"/>
        <v>0.1321200270969331</v>
      </c>
    </row>
    <row r="293" spans="1:7" ht="14.25" customHeight="1" outlineLevel="3" x14ac:dyDescent="0.25">
      <c r="A293" s="69" t="s">
        <v>12</v>
      </c>
      <c r="B293" s="11">
        <v>2605000</v>
      </c>
      <c r="C293" s="11">
        <v>877500</v>
      </c>
      <c r="D293" s="11">
        <v>107876.32</v>
      </c>
      <c r="E293" s="11">
        <v>107876.32</v>
      </c>
      <c r="F293" s="14">
        <f t="shared" si="27"/>
        <v>0.12293597720797722</v>
      </c>
      <c r="G293" s="14">
        <f t="shared" si="28"/>
        <v>4.1411255278310945E-2</v>
      </c>
    </row>
    <row r="294" spans="1:7" ht="14.25" customHeight="1" outlineLevel="3" x14ac:dyDescent="0.25">
      <c r="A294" s="69" t="s">
        <v>13</v>
      </c>
      <c r="B294" s="11">
        <v>1250683</v>
      </c>
      <c r="C294" s="11">
        <v>771429</v>
      </c>
      <c r="D294" s="11">
        <v>557688.81999999995</v>
      </c>
      <c r="E294" s="11">
        <v>557688.81999999995</v>
      </c>
      <c r="F294" s="14">
        <f t="shared" si="27"/>
        <v>0.72292955022432392</v>
      </c>
      <c r="G294" s="14">
        <f t="shared" si="28"/>
        <v>0.44590741218997937</v>
      </c>
    </row>
    <row r="295" spans="1:7" ht="14.25" customHeight="1" outlineLevel="3" x14ac:dyDescent="0.25">
      <c r="A295" s="69" t="s">
        <v>14</v>
      </c>
      <c r="B295" s="11">
        <v>63983</v>
      </c>
      <c r="C295" s="11">
        <v>21700</v>
      </c>
      <c r="D295" s="11">
        <v>15815.36</v>
      </c>
      <c r="E295" s="11">
        <v>15815.36</v>
      </c>
      <c r="F295" s="14">
        <f t="shared" ref="F295:F331" si="30">D295/C295</f>
        <v>0.7288184331797235</v>
      </c>
      <c r="G295" s="14">
        <f t="shared" si="28"/>
        <v>0.24718065736211181</v>
      </c>
    </row>
    <row r="296" spans="1:7" ht="14.25" customHeight="1" outlineLevel="3" x14ac:dyDescent="0.25">
      <c r="A296" s="69" t="s">
        <v>15</v>
      </c>
      <c r="B296" s="11">
        <v>613973</v>
      </c>
      <c r="C296" s="11">
        <v>72801</v>
      </c>
      <c r="D296" s="11">
        <v>72800.009999999995</v>
      </c>
      <c r="E296" s="11">
        <v>72800.009999999995</v>
      </c>
      <c r="F296" s="14">
        <f t="shared" si="30"/>
        <v>0.9999864012856966</v>
      </c>
      <c r="G296" s="14">
        <f t="shared" si="28"/>
        <v>0.11857200560936718</v>
      </c>
    </row>
    <row r="297" spans="1:7" ht="14.25" customHeight="1" outlineLevel="3" x14ac:dyDescent="0.25">
      <c r="A297" s="69" t="s">
        <v>26</v>
      </c>
      <c r="B297" s="11">
        <v>30000</v>
      </c>
      <c r="C297" s="11">
        <v>10000</v>
      </c>
      <c r="D297" s="11">
        <v>6959.31</v>
      </c>
      <c r="E297" s="11">
        <v>6959.31</v>
      </c>
      <c r="F297" s="14">
        <f t="shared" si="30"/>
        <v>0.69593100000000008</v>
      </c>
      <c r="G297" s="14">
        <f t="shared" si="28"/>
        <v>0.23197700000000002</v>
      </c>
    </row>
    <row r="298" spans="1:7" ht="25.5" customHeight="1" outlineLevel="3" x14ac:dyDescent="0.25">
      <c r="A298" s="69" t="s">
        <v>16</v>
      </c>
      <c r="B298" s="11">
        <v>3000</v>
      </c>
      <c r="C298" s="11">
        <v>3000</v>
      </c>
      <c r="D298" s="12"/>
      <c r="E298" s="12"/>
      <c r="F298" s="14">
        <f t="shared" si="30"/>
        <v>0</v>
      </c>
      <c r="G298" s="14">
        <f t="shared" si="28"/>
        <v>0</v>
      </c>
    </row>
    <row r="299" spans="1:7" s="17" customFormat="1" ht="12" customHeight="1" outlineLevel="2" x14ac:dyDescent="0.2">
      <c r="A299" s="83" t="s">
        <v>30</v>
      </c>
      <c r="B299" s="9">
        <v>7281692</v>
      </c>
      <c r="C299" s="9">
        <v>2244800</v>
      </c>
      <c r="D299" s="9">
        <v>2244704.02</v>
      </c>
      <c r="E299" s="9">
        <v>2244704.02</v>
      </c>
      <c r="F299" s="16">
        <f t="shared" si="30"/>
        <v>0.999957243406985</v>
      </c>
      <c r="G299" s="16">
        <f t="shared" si="28"/>
        <v>0.30826681765721486</v>
      </c>
    </row>
    <row r="300" spans="1:7" ht="13.5" customHeight="1" outlineLevel="3" x14ac:dyDescent="0.25">
      <c r="A300" s="69" t="s">
        <v>9</v>
      </c>
      <c r="B300" s="11">
        <v>5968600</v>
      </c>
      <c r="C300" s="11">
        <v>1840000</v>
      </c>
      <c r="D300" s="11">
        <v>1839904.02</v>
      </c>
      <c r="E300" s="11">
        <v>1839904.02</v>
      </c>
      <c r="F300" s="14">
        <f t="shared" si="30"/>
        <v>0.99994783695652179</v>
      </c>
      <c r="G300" s="14">
        <f t="shared" si="28"/>
        <v>0.30826391783667861</v>
      </c>
    </row>
    <row r="301" spans="1:7" ht="13.5" customHeight="1" outlineLevel="3" x14ac:dyDescent="0.25">
      <c r="A301" s="69" t="s">
        <v>10</v>
      </c>
      <c r="B301" s="11">
        <v>1313092</v>
      </c>
      <c r="C301" s="11">
        <v>404800</v>
      </c>
      <c r="D301" s="11">
        <v>404800</v>
      </c>
      <c r="E301" s="11">
        <v>404800</v>
      </c>
      <c r="F301" s="14">
        <f t="shared" si="30"/>
        <v>1</v>
      </c>
      <c r="G301" s="14">
        <f t="shared" si="28"/>
        <v>0.30827999865965217</v>
      </c>
    </row>
    <row r="302" spans="1:7" s="17" customFormat="1" ht="25.5" customHeight="1" outlineLevel="2" x14ac:dyDescent="0.2">
      <c r="A302" s="83" t="s">
        <v>23</v>
      </c>
      <c r="B302" s="9">
        <v>47520127</v>
      </c>
      <c r="C302" s="9">
        <f>SUM(C303:C311)</f>
        <v>13443274</v>
      </c>
      <c r="D302" s="9">
        <v>11801152.77</v>
      </c>
      <c r="E302" s="9">
        <v>11719727.029999999</v>
      </c>
      <c r="F302" s="16">
        <f t="shared" si="30"/>
        <v>0.87784811720716249</v>
      </c>
      <c r="G302" s="16">
        <f t="shared" si="28"/>
        <v>0.24834009324091241</v>
      </c>
    </row>
    <row r="303" spans="1:7" ht="13.5" customHeight="1" outlineLevel="3" x14ac:dyDescent="0.25">
      <c r="A303" s="69" t="s">
        <v>9</v>
      </c>
      <c r="B303" s="11">
        <v>28943677</v>
      </c>
      <c r="C303" s="11">
        <f>25144000-C300-C313-C290-C287</f>
        <v>8544000</v>
      </c>
      <c r="D303" s="11">
        <v>8445100.8499999996</v>
      </c>
      <c r="E303" s="11">
        <v>8445100.8499999996</v>
      </c>
      <c r="F303" s="14">
        <f t="shared" si="30"/>
        <v>0.98842472495318345</v>
      </c>
      <c r="G303" s="14">
        <f t="shared" si="28"/>
        <v>0.29177705548607386</v>
      </c>
    </row>
    <row r="304" spans="1:7" ht="13.5" customHeight="1" outlineLevel="3" x14ac:dyDescent="0.25">
      <c r="A304" s="69" t="s">
        <v>10</v>
      </c>
      <c r="B304" s="11">
        <v>6367609</v>
      </c>
      <c r="C304" s="11">
        <f>5531680-C314-C301-C291-C288</f>
        <v>1879680</v>
      </c>
      <c r="D304" s="11">
        <v>1873291.02</v>
      </c>
      <c r="E304" s="11">
        <v>1873291.02</v>
      </c>
      <c r="F304" s="14">
        <f t="shared" si="30"/>
        <v>0.99660102783452509</v>
      </c>
      <c r="G304" s="14">
        <f t="shared" si="28"/>
        <v>0.29419064832655395</v>
      </c>
    </row>
    <row r="305" spans="1:7" ht="13.5" customHeight="1" outlineLevel="3" x14ac:dyDescent="0.25">
      <c r="A305" s="69" t="s">
        <v>11</v>
      </c>
      <c r="B305" s="11">
        <v>4001720</v>
      </c>
      <c r="C305" s="11">
        <f>2350000-C292-C315</f>
        <v>500000</v>
      </c>
      <c r="D305" s="11">
        <v>22493.5</v>
      </c>
      <c r="E305" s="11">
        <v>22493.5</v>
      </c>
      <c r="F305" s="14">
        <f t="shared" si="30"/>
        <v>4.4986999999999999E-2</v>
      </c>
      <c r="G305" s="14">
        <f t="shared" si="28"/>
        <v>5.6209579880651317E-3</v>
      </c>
    </row>
    <row r="306" spans="1:7" ht="13.5" customHeight="1" outlineLevel="3" x14ac:dyDescent="0.25">
      <c r="A306" s="69" t="s">
        <v>12</v>
      </c>
      <c r="B306" s="11">
        <v>4795000</v>
      </c>
      <c r="C306" s="11">
        <f>3870000-C293-C316</f>
        <v>592500</v>
      </c>
      <c r="D306" s="11">
        <v>170980.92</v>
      </c>
      <c r="E306" s="11">
        <v>170980.92</v>
      </c>
      <c r="F306" s="14">
        <f t="shared" si="30"/>
        <v>0.2885753924050633</v>
      </c>
      <c r="G306" s="14">
        <f t="shared" si="28"/>
        <v>3.5658168925964552E-2</v>
      </c>
    </row>
    <row r="307" spans="1:7" ht="13.5" customHeight="1" outlineLevel="3" x14ac:dyDescent="0.25">
      <c r="A307" s="69" t="s">
        <v>13</v>
      </c>
      <c r="B307" s="11">
        <v>2761908</v>
      </c>
      <c r="C307" s="11">
        <f>2484943-C294-C317</f>
        <v>1567546</v>
      </c>
      <c r="D307" s="11">
        <v>985063.36</v>
      </c>
      <c r="E307" s="11">
        <v>985063.36</v>
      </c>
      <c r="F307" s="14">
        <f t="shared" si="30"/>
        <v>0.6284111343462967</v>
      </c>
      <c r="G307" s="14">
        <f t="shared" si="28"/>
        <v>0.35666045357050269</v>
      </c>
    </row>
    <row r="308" spans="1:7" ht="13.5" customHeight="1" outlineLevel="3" x14ac:dyDescent="0.25">
      <c r="A308" s="69" t="s">
        <v>14</v>
      </c>
      <c r="B308" s="11">
        <v>105910</v>
      </c>
      <c r="C308" s="11">
        <f>82744-C295-C318</f>
        <v>39962</v>
      </c>
      <c r="D308" s="11">
        <v>14253.87</v>
      </c>
      <c r="E308" s="11">
        <v>14253.87</v>
      </c>
      <c r="F308" s="14">
        <f t="shared" si="30"/>
        <v>0.35668560132125521</v>
      </c>
      <c r="G308" s="14">
        <f t="shared" si="28"/>
        <v>0.13458474176187329</v>
      </c>
    </row>
    <row r="309" spans="1:7" ht="13.5" customHeight="1" outlineLevel="3" x14ac:dyDescent="0.25">
      <c r="A309" s="69" t="s">
        <v>15</v>
      </c>
      <c r="B309" s="11">
        <v>463360</v>
      </c>
      <c r="C309" s="11">
        <f>557089-C296-C319</f>
        <v>280558</v>
      </c>
      <c r="D309" s="11">
        <v>285638.99</v>
      </c>
      <c r="E309" s="11">
        <v>204213.25</v>
      </c>
      <c r="F309" s="14">
        <f t="shared" si="30"/>
        <v>1.0181103016132136</v>
      </c>
      <c r="G309" s="14">
        <f t="shared" si="28"/>
        <v>0.61645154955110493</v>
      </c>
    </row>
    <row r="310" spans="1:7" ht="13.5" customHeight="1" outlineLevel="3" x14ac:dyDescent="0.25">
      <c r="A310" s="69" t="s">
        <v>26</v>
      </c>
      <c r="B310" s="11">
        <v>68943</v>
      </c>
      <c r="C310" s="11">
        <f>45716-C297-C320</f>
        <v>27028</v>
      </c>
      <c r="D310" s="11">
        <v>4330.26</v>
      </c>
      <c r="E310" s="11">
        <v>4330.26</v>
      </c>
      <c r="F310" s="14">
        <f t="shared" si="30"/>
        <v>0.16021385230131716</v>
      </c>
      <c r="G310" s="14">
        <f t="shared" si="28"/>
        <v>6.2809277229015276E-2</v>
      </c>
    </row>
    <row r="311" spans="1:7" ht="27.75" customHeight="1" outlineLevel="3" x14ac:dyDescent="0.25">
      <c r="A311" s="69" t="s">
        <v>16</v>
      </c>
      <c r="B311" s="11">
        <v>12000</v>
      </c>
      <c r="C311" s="11">
        <f>18000-C298-C321</f>
        <v>12000</v>
      </c>
      <c r="D311" s="12"/>
      <c r="E311" s="12"/>
      <c r="F311" s="14">
        <f t="shared" si="30"/>
        <v>0</v>
      </c>
      <c r="G311" s="14">
        <f t="shared" si="28"/>
        <v>0</v>
      </c>
    </row>
    <row r="312" spans="1:7" s="17" customFormat="1" ht="16.5" customHeight="1" outlineLevel="2" x14ac:dyDescent="0.2">
      <c r="A312" s="83" t="s">
        <v>36</v>
      </c>
      <c r="B312" s="9">
        <v>43058569</v>
      </c>
      <c r="C312" s="9">
        <v>15654068</v>
      </c>
      <c r="D312" s="9">
        <v>11788248.890000001</v>
      </c>
      <c r="E312" s="9">
        <v>11788248.890000001</v>
      </c>
      <c r="F312" s="16">
        <f t="shared" si="30"/>
        <v>0.75304699647401563</v>
      </c>
      <c r="G312" s="16">
        <f t="shared" si="28"/>
        <v>0.27377242587880707</v>
      </c>
    </row>
    <row r="313" spans="1:7" ht="14.25" customHeight="1" outlineLevel="3" x14ac:dyDescent="0.25">
      <c r="A313" s="69" t="s">
        <v>9</v>
      </c>
      <c r="B313" s="11">
        <v>29997100</v>
      </c>
      <c r="C313" s="11">
        <v>9280000</v>
      </c>
      <c r="D313" s="11">
        <v>9279083.1999999993</v>
      </c>
      <c r="E313" s="11">
        <v>9279083.1999999993</v>
      </c>
      <c r="F313" s="14">
        <f t="shared" si="30"/>
        <v>0.9999012068965516</v>
      </c>
      <c r="G313" s="14">
        <f t="shared" si="28"/>
        <v>0.30933267549196419</v>
      </c>
    </row>
    <row r="314" spans="1:7" ht="14.25" customHeight="1" outlineLevel="3" x14ac:dyDescent="0.25">
      <c r="A314" s="69" t="s">
        <v>10</v>
      </c>
      <c r="B314" s="11">
        <v>6599362</v>
      </c>
      <c r="C314" s="11">
        <v>2041600</v>
      </c>
      <c r="D314" s="11">
        <v>2033653.23</v>
      </c>
      <c r="E314" s="11">
        <v>2033653.23</v>
      </c>
      <c r="F314" s="14">
        <f t="shared" si="30"/>
        <v>0.99610757739028211</v>
      </c>
      <c r="G314" s="14">
        <f t="shared" si="28"/>
        <v>0.30815906598243892</v>
      </c>
    </row>
    <row r="315" spans="1:7" ht="14.25" customHeight="1" outlineLevel="3" x14ac:dyDescent="0.25">
      <c r="A315" s="69" t="s">
        <v>11</v>
      </c>
      <c r="B315" s="11">
        <v>2000000</v>
      </c>
      <c r="C315" s="11">
        <v>1550000</v>
      </c>
      <c r="D315" s="11">
        <v>160559.6</v>
      </c>
      <c r="E315" s="11">
        <v>160559.6</v>
      </c>
      <c r="F315" s="14">
        <f t="shared" si="30"/>
        <v>0.10358683870967743</v>
      </c>
      <c r="G315" s="14">
        <f t="shared" si="28"/>
        <v>8.0279799999999998E-2</v>
      </c>
    </row>
    <row r="316" spans="1:7" ht="14.25" customHeight="1" outlineLevel="3" x14ac:dyDescent="0.25">
      <c r="A316" s="69" t="s">
        <v>12</v>
      </c>
      <c r="B316" s="11">
        <v>3600000</v>
      </c>
      <c r="C316" s="11">
        <v>2400000</v>
      </c>
      <c r="D316" s="11">
        <v>30514.799999999999</v>
      </c>
      <c r="E316" s="11">
        <v>30514.799999999999</v>
      </c>
      <c r="F316" s="14">
        <f t="shared" si="30"/>
        <v>1.27145E-2</v>
      </c>
      <c r="G316" s="14">
        <f t="shared" si="28"/>
        <v>8.476333333333334E-3</v>
      </c>
    </row>
    <row r="317" spans="1:7" ht="14.25" customHeight="1" outlineLevel="3" x14ac:dyDescent="0.25">
      <c r="A317" s="69" t="s">
        <v>13</v>
      </c>
      <c r="B317" s="11">
        <v>364729</v>
      </c>
      <c r="C317" s="11">
        <v>145968</v>
      </c>
      <c r="D317" s="11">
        <v>65966.02</v>
      </c>
      <c r="E317" s="11">
        <v>65966.02</v>
      </c>
      <c r="F317" s="14">
        <f t="shared" si="30"/>
        <v>0.45192110599583474</v>
      </c>
      <c r="G317" s="14">
        <f t="shared" si="28"/>
        <v>0.18086310658050225</v>
      </c>
    </row>
    <row r="318" spans="1:7" ht="14.25" customHeight="1" outlineLevel="3" x14ac:dyDescent="0.25">
      <c r="A318" s="69" t="s">
        <v>14</v>
      </c>
      <c r="B318" s="11">
        <v>64483</v>
      </c>
      <c r="C318" s="11">
        <v>21082</v>
      </c>
      <c r="D318" s="11">
        <v>14924.78</v>
      </c>
      <c r="E318" s="11">
        <v>14924.78</v>
      </c>
      <c r="F318" s="14">
        <f t="shared" si="30"/>
        <v>0.70793947443316574</v>
      </c>
      <c r="G318" s="14">
        <f t="shared" si="28"/>
        <v>0.23145294108524728</v>
      </c>
    </row>
    <row r="319" spans="1:7" ht="14.25" customHeight="1" outlineLevel="3" x14ac:dyDescent="0.25">
      <c r="A319" s="69" t="s">
        <v>15</v>
      </c>
      <c r="B319" s="11">
        <v>403830</v>
      </c>
      <c r="C319" s="11">
        <v>203730</v>
      </c>
      <c r="D319" s="11">
        <v>198650</v>
      </c>
      <c r="E319" s="11">
        <v>198650</v>
      </c>
      <c r="F319" s="14">
        <f t="shared" si="30"/>
        <v>0.97506503705885239</v>
      </c>
      <c r="G319" s="14">
        <f t="shared" si="28"/>
        <v>0.49191491469182574</v>
      </c>
    </row>
    <row r="320" spans="1:7" ht="14.25" customHeight="1" outlineLevel="3" x14ac:dyDescent="0.25">
      <c r="A320" s="69" t="s">
        <v>26</v>
      </c>
      <c r="B320" s="11">
        <v>26065</v>
      </c>
      <c r="C320" s="11">
        <v>8688</v>
      </c>
      <c r="D320" s="11">
        <v>4897.26</v>
      </c>
      <c r="E320" s="11">
        <v>4897.26</v>
      </c>
      <c r="F320" s="14">
        <f t="shared" si="30"/>
        <v>0.56368093922651941</v>
      </c>
      <c r="G320" s="14">
        <f t="shared" si="28"/>
        <v>0.18788643775177441</v>
      </c>
    </row>
    <row r="321" spans="1:8" ht="27.75" customHeight="1" outlineLevel="3" x14ac:dyDescent="0.25">
      <c r="A321" s="69" t="s">
        <v>16</v>
      </c>
      <c r="B321" s="11">
        <v>3000</v>
      </c>
      <c r="C321" s="11">
        <v>3000</v>
      </c>
      <c r="D321" s="12"/>
      <c r="E321" s="12"/>
      <c r="F321" s="14">
        <f t="shared" si="30"/>
        <v>0</v>
      </c>
      <c r="G321" s="14">
        <f t="shared" si="28"/>
        <v>0</v>
      </c>
    </row>
    <row r="322" spans="1:8" s="18" customFormat="1" ht="16.5" customHeight="1" outlineLevel="1" x14ac:dyDescent="0.2">
      <c r="A322" s="70" t="s">
        <v>73</v>
      </c>
      <c r="B322" s="22">
        <f>B323+B333</f>
        <v>182328710</v>
      </c>
      <c r="C322" s="22">
        <f t="shared" ref="C322:E322" si="31">C323+C333</f>
        <v>56223848</v>
      </c>
      <c r="D322" s="22">
        <f t="shared" si="31"/>
        <v>53905551.200000003</v>
      </c>
      <c r="E322" s="22">
        <f t="shared" si="31"/>
        <v>53905551.200000003</v>
      </c>
      <c r="F322" s="23">
        <f t="shared" si="30"/>
        <v>0.95876666428096491</v>
      </c>
      <c r="G322" s="23">
        <f t="shared" si="28"/>
        <v>0.29565037343817113</v>
      </c>
      <c r="H322" s="47"/>
    </row>
    <row r="323" spans="1:8" s="17" customFormat="1" ht="24.75" customHeight="1" outlineLevel="2" x14ac:dyDescent="0.2">
      <c r="A323" s="83" t="s">
        <v>25</v>
      </c>
      <c r="B323" s="9">
        <v>135891697</v>
      </c>
      <c r="C323" s="9">
        <f>SUM(C324:C332)</f>
        <v>41896781</v>
      </c>
      <c r="D323" s="9">
        <v>40161965.200000003</v>
      </c>
      <c r="E323" s="9">
        <v>40161965.200000003</v>
      </c>
      <c r="F323" s="16">
        <f t="shared" si="30"/>
        <v>0.95859310050574065</v>
      </c>
      <c r="G323" s="16">
        <f t="shared" si="28"/>
        <v>0.29554392274606744</v>
      </c>
    </row>
    <row r="324" spans="1:8" ht="15" customHeight="1" outlineLevel="3" x14ac:dyDescent="0.25">
      <c r="A324" s="69" t="s">
        <v>9</v>
      </c>
      <c r="B324" s="11">
        <v>101772123</v>
      </c>
      <c r="C324" s="11">
        <f>43040000-C334</f>
        <v>31900000</v>
      </c>
      <c r="D324" s="11">
        <v>31841503.300000001</v>
      </c>
      <c r="E324" s="11">
        <v>31841503.300000001</v>
      </c>
      <c r="F324" s="14">
        <f t="shared" si="30"/>
        <v>0.99816624764890283</v>
      </c>
      <c r="G324" s="14">
        <f t="shared" si="28"/>
        <v>0.31287058146561414</v>
      </c>
    </row>
    <row r="325" spans="1:8" ht="15" customHeight="1" outlineLevel="3" x14ac:dyDescent="0.25">
      <c r="A325" s="69" t="s">
        <v>10</v>
      </c>
      <c r="B325" s="11">
        <v>22389867</v>
      </c>
      <c r="C325" s="11">
        <f>9468800-C335</f>
        <v>7018000</v>
      </c>
      <c r="D325" s="11">
        <v>6970820.54</v>
      </c>
      <c r="E325" s="11">
        <v>6970820.54</v>
      </c>
      <c r="F325" s="14">
        <f t="shared" si="30"/>
        <v>0.99327736392134514</v>
      </c>
      <c r="G325" s="14">
        <f t="shared" si="28"/>
        <v>0.31133818436706212</v>
      </c>
    </row>
    <row r="326" spans="1:8" ht="15" customHeight="1" outlineLevel="3" x14ac:dyDescent="0.25">
      <c r="A326" s="69" t="s">
        <v>11</v>
      </c>
      <c r="B326" s="11">
        <v>1900000</v>
      </c>
      <c r="C326" s="11">
        <f>590000-C336</f>
        <v>500000</v>
      </c>
      <c r="D326" s="11">
        <v>21200</v>
      </c>
      <c r="E326" s="11">
        <v>21200</v>
      </c>
      <c r="F326" s="14">
        <f t="shared" si="30"/>
        <v>4.24E-2</v>
      </c>
      <c r="G326" s="14">
        <f t="shared" si="28"/>
        <v>1.1157894736842104E-2</v>
      </c>
    </row>
    <row r="327" spans="1:8" ht="15" customHeight="1" outlineLevel="3" x14ac:dyDescent="0.25">
      <c r="A327" s="69" t="s">
        <v>12</v>
      </c>
      <c r="B327" s="11">
        <v>5760684</v>
      </c>
      <c r="C327" s="11">
        <f>625000-C337</f>
        <v>425000</v>
      </c>
      <c r="D327" s="11">
        <v>143665.26999999999</v>
      </c>
      <c r="E327" s="11">
        <v>143665.26999999999</v>
      </c>
      <c r="F327" s="14">
        <f t="shared" si="30"/>
        <v>0.33803592941176469</v>
      </c>
      <c r="G327" s="14">
        <f t="shared" si="28"/>
        <v>2.4938925655356204E-2</v>
      </c>
    </row>
    <row r="328" spans="1:8" ht="15" customHeight="1" outlineLevel="3" x14ac:dyDescent="0.25">
      <c r="A328" s="69" t="s">
        <v>13</v>
      </c>
      <c r="B328" s="11">
        <v>2650797</v>
      </c>
      <c r="C328" s="11">
        <f>2061357-C338</f>
        <v>1776492</v>
      </c>
      <c r="D328" s="11">
        <v>925540.61</v>
      </c>
      <c r="E328" s="11">
        <v>925540.61</v>
      </c>
      <c r="F328" s="14">
        <f t="shared" si="30"/>
        <v>0.52099340160270913</v>
      </c>
      <c r="G328" s="14">
        <f t="shared" si="28"/>
        <v>0.34915559735430513</v>
      </c>
    </row>
    <row r="329" spans="1:8" ht="15" customHeight="1" outlineLevel="3" x14ac:dyDescent="0.25">
      <c r="A329" s="69" t="s">
        <v>14</v>
      </c>
      <c r="B329" s="11">
        <v>131300</v>
      </c>
      <c r="C329" s="11">
        <f>62673-C339</f>
        <v>35607</v>
      </c>
      <c r="D329" s="11">
        <v>35606.76</v>
      </c>
      <c r="E329" s="11">
        <v>35606.76</v>
      </c>
      <c r="F329" s="14">
        <f t="shared" si="30"/>
        <v>0.99999325975229592</v>
      </c>
      <c r="G329" s="14">
        <f t="shared" si="28"/>
        <v>0.27118629093678598</v>
      </c>
      <c r="H329" s="20"/>
    </row>
    <row r="330" spans="1:8" ht="15" customHeight="1" outlineLevel="3" x14ac:dyDescent="0.25">
      <c r="A330" s="69" t="s">
        <v>15</v>
      </c>
      <c r="B330" s="11">
        <v>767426</v>
      </c>
      <c r="C330" s="11">
        <f>363026-C340</f>
        <v>235186</v>
      </c>
      <c r="D330" s="11">
        <v>223014.64</v>
      </c>
      <c r="E330" s="11">
        <v>223014.64</v>
      </c>
      <c r="F330" s="14">
        <f t="shared" si="30"/>
        <v>0.94824793992839718</v>
      </c>
      <c r="G330" s="14">
        <f t="shared" si="28"/>
        <v>0.29060083969008088</v>
      </c>
    </row>
    <row r="331" spans="1:8" ht="15" customHeight="1" outlineLevel="3" x14ac:dyDescent="0.25">
      <c r="A331" s="69" t="s">
        <v>26</v>
      </c>
      <c r="B331" s="11">
        <v>19500</v>
      </c>
      <c r="C331" s="11">
        <f>12992-C341</f>
        <v>6496</v>
      </c>
      <c r="D331" s="13">
        <v>614.08000000000004</v>
      </c>
      <c r="E331" s="13">
        <v>614.08000000000004</v>
      </c>
      <c r="F331" s="14">
        <f t="shared" si="30"/>
        <v>9.4532019704433506E-2</v>
      </c>
      <c r="G331" s="14">
        <f t="shared" si="28"/>
        <v>3.149128205128205E-2</v>
      </c>
    </row>
    <row r="332" spans="1:8" ht="27" customHeight="1" outlineLevel="3" x14ac:dyDescent="0.25">
      <c r="A332" s="69" t="s">
        <v>56</v>
      </c>
      <c r="B332" s="11">
        <v>500000</v>
      </c>
      <c r="C332" s="11"/>
      <c r="D332" s="12"/>
      <c r="E332" s="12"/>
      <c r="F332" s="14">
        <v>0</v>
      </c>
      <c r="G332" s="14">
        <f t="shared" si="28"/>
        <v>0</v>
      </c>
    </row>
    <row r="333" spans="1:8" s="17" customFormat="1" ht="27.75" customHeight="1" outlineLevel="2" x14ac:dyDescent="0.2">
      <c r="A333" s="83" t="s">
        <v>39</v>
      </c>
      <c r="B333" s="9">
        <v>46437013</v>
      </c>
      <c r="C333" s="9">
        <f>SUM(C334:C341)</f>
        <v>14327067</v>
      </c>
      <c r="D333" s="9">
        <v>13743586</v>
      </c>
      <c r="E333" s="9">
        <v>13743586</v>
      </c>
      <c r="F333" s="16">
        <f t="shared" ref="F333:F364" si="32">D333/C333</f>
        <v>0.95927421851241435</v>
      </c>
      <c r="G333" s="16">
        <f t="shared" si="28"/>
        <v>0.29596188712654709</v>
      </c>
    </row>
    <row r="334" spans="1:8" ht="14.25" customHeight="1" outlineLevel="3" x14ac:dyDescent="0.25">
      <c r="A334" s="69" t="s">
        <v>9</v>
      </c>
      <c r="B334" s="11">
        <v>35539000</v>
      </c>
      <c r="C334" s="11">
        <v>11140000</v>
      </c>
      <c r="D334" s="11">
        <v>10968516.460000001</v>
      </c>
      <c r="E334" s="11">
        <v>10968516.460000001</v>
      </c>
      <c r="F334" s="14">
        <f t="shared" si="32"/>
        <v>0.98460650448833043</v>
      </c>
      <c r="G334" s="14">
        <f t="shared" si="28"/>
        <v>0.30863323278651622</v>
      </c>
    </row>
    <row r="335" spans="1:8" ht="14.25" customHeight="1" outlineLevel="3" x14ac:dyDescent="0.25">
      <c r="A335" s="69" t="s">
        <v>10</v>
      </c>
      <c r="B335" s="11">
        <v>7818580</v>
      </c>
      <c r="C335" s="11">
        <v>2450800</v>
      </c>
      <c r="D335" s="11">
        <v>2393020.15</v>
      </c>
      <c r="E335" s="11">
        <v>2393020.15</v>
      </c>
      <c r="F335" s="14">
        <f t="shared" si="32"/>
        <v>0.97642408601273045</v>
      </c>
      <c r="G335" s="14">
        <f t="shared" si="28"/>
        <v>0.30606838454041524</v>
      </c>
    </row>
    <row r="336" spans="1:8" ht="14.25" customHeight="1" outlineLevel="3" x14ac:dyDescent="0.25">
      <c r="A336" s="69" t="s">
        <v>11</v>
      </c>
      <c r="B336" s="11">
        <v>300000</v>
      </c>
      <c r="C336" s="11">
        <v>90000</v>
      </c>
      <c r="D336" s="11">
        <v>19555</v>
      </c>
      <c r="E336" s="11">
        <v>19555</v>
      </c>
      <c r="F336" s="14">
        <f t="shared" si="32"/>
        <v>0.21727777777777776</v>
      </c>
      <c r="G336" s="14">
        <f t="shared" si="28"/>
        <v>6.5183333333333329E-2</v>
      </c>
    </row>
    <row r="337" spans="1:8" ht="14.25" customHeight="1" outlineLevel="3" x14ac:dyDescent="0.25">
      <c r="A337" s="69" t="s">
        <v>12</v>
      </c>
      <c r="B337" s="11">
        <v>1600000</v>
      </c>
      <c r="C337" s="11">
        <v>200000</v>
      </c>
      <c r="D337" s="11">
        <v>52434.97</v>
      </c>
      <c r="E337" s="11">
        <v>52434.97</v>
      </c>
      <c r="F337" s="14">
        <f t="shared" si="32"/>
        <v>0.26217485000000001</v>
      </c>
      <c r="G337" s="14">
        <f t="shared" si="28"/>
        <v>3.2771856250000002E-2</v>
      </c>
    </row>
    <row r="338" spans="1:8" ht="14.25" customHeight="1" outlineLevel="3" x14ac:dyDescent="0.25">
      <c r="A338" s="69" t="s">
        <v>13</v>
      </c>
      <c r="B338" s="11">
        <v>582549</v>
      </c>
      <c r="C338" s="11">
        <v>284865</v>
      </c>
      <c r="D338" s="11">
        <v>158290.89000000001</v>
      </c>
      <c r="E338" s="11">
        <v>158290.89000000001</v>
      </c>
      <c r="F338" s="14">
        <f t="shared" si="32"/>
        <v>0.55566984361013116</v>
      </c>
      <c r="G338" s="14">
        <f t="shared" si="28"/>
        <v>0.27172115993676071</v>
      </c>
    </row>
    <row r="339" spans="1:8" ht="14.25" customHeight="1" outlineLevel="3" x14ac:dyDescent="0.25">
      <c r="A339" s="69" t="s">
        <v>14</v>
      </c>
      <c r="B339" s="11">
        <v>83110</v>
      </c>
      <c r="C339" s="11">
        <f>35203-8137</f>
        <v>27066</v>
      </c>
      <c r="D339" s="11">
        <v>23051.56</v>
      </c>
      <c r="E339" s="11">
        <v>23051.56</v>
      </c>
      <c r="F339" s="14">
        <f t="shared" si="32"/>
        <v>0.85167959801965576</v>
      </c>
      <c r="G339" s="14">
        <f t="shared" si="28"/>
        <v>0.27736205029479005</v>
      </c>
      <c r="H339" s="20"/>
    </row>
    <row r="340" spans="1:8" ht="14.25" customHeight="1" outlineLevel="3" x14ac:dyDescent="0.25">
      <c r="A340" s="69" t="s">
        <v>15</v>
      </c>
      <c r="B340" s="11">
        <v>494274</v>
      </c>
      <c r="C340" s="11">
        <f>307840-180000</f>
        <v>127840</v>
      </c>
      <c r="D340" s="11">
        <v>126874.73</v>
      </c>
      <c r="E340" s="11">
        <v>126874.73</v>
      </c>
      <c r="F340" s="14">
        <f t="shared" si="32"/>
        <v>0.99244938986232789</v>
      </c>
      <c r="G340" s="14">
        <f t="shared" si="28"/>
        <v>0.2566890631512076</v>
      </c>
      <c r="H340" s="20"/>
    </row>
    <row r="341" spans="1:8" ht="14.25" customHeight="1" outlineLevel="3" x14ac:dyDescent="0.25">
      <c r="A341" s="69" t="s">
        <v>26</v>
      </c>
      <c r="B341" s="11">
        <v>19500</v>
      </c>
      <c r="C341" s="11">
        <v>6496</v>
      </c>
      <c r="D341" s="11">
        <v>1842.24</v>
      </c>
      <c r="E341" s="11">
        <v>1842.24</v>
      </c>
      <c r="F341" s="14">
        <f t="shared" si="32"/>
        <v>0.28359605911330049</v>
      </c>
      <c r="G341" s="14">
        <f t="shared" si="28"/>
        <v>9.4473846153846158E-2</v>
      </c>
    </row>
    <row r="342" spans="1:8" s="18" customFormat="1" ht="25.5" customHeight="1" outlineLevel="1" x14ac:dyDescent="0.2">
      <c r="A342" s="70" t="s">
        <v>74</v>
      </c>
      <c r="B342" s="22">
        <v>62760224</v>
      </c>
      <c r="C342" s="22">
        <f>C343</f>
        <v>20226886</v>
      </c>
      <c r="D342" s="22">
        <v>17728582.579999998</v>
      </c>
      <c r="E342" s="22">
        <v>17658984.41</v>
      </c>
      <c r="F342" s="23">
        <f t="shared" si="32"/>
        <v>0.87648600877070248</v>
      </c>
      <c r="G342" s="23">
        <f t="shared" si="28"/>
        <v>0.2824811871289688</v>
      </c>
      <c r="H342" s="47"/>
    </row>
    <row r="343" spans="1:8" s="17" customFormat="1" ht="27.75" customHeight="1" outlineLevel="2" x14ac:dyDescent="0.2">
      <c r="A343" s="83" t="s">
        <v>23</v>
      </c>
      <c r="B343" s="9">
        <v>62760224</v>
      </c>
      <c r="C343" s="9">
        <f>SUM(C344:C352)</f>
        <v>20226886</v>
      </c>
      <c r="D343" s="9">
        <v>17728582.579999998</v>
      </c>
      <c r="E343" s="9">
        <v>17658984.41</v>
      </c>
      <c r="F343" s="16">
        <f t="shared" si="32"/>
        <v>0.87648600877070248</v>
      </c>
      <c r="G343" s="16">
        <f t="shared" si="28"/>
        <v>0.2824811871289688</v>
      </c>
    </row>
    <row r="344" spans="1:8" ht="14.25" customHeight="1" outlineLevel="3" x14ac:dyDescent="0.25">
      <c r="A344" s="69" t="s">
        <v>9</v>
      </c>
      <c r="B344" s="11">
        <v>43771578</v>
      </c>
      <c r="C344" s="11">
        <v>14000000</v>
      </c>
      <c r="D344" s="11">
        <v>13737647.109999999</v>
      </c>
      <c r="E344" s="11">
        <v>13737647.109999999</v>
      </c>
      <c r="F344" s="14">
        <f t="shared" si="32"/>
        <v>0.98126050785714281</v>
      </c>
      <c r="G344" s="14">
        <f t="shared" si="28"/>
        <v>0.31384856881330619</v>
      </c>
    </row>
    <row r="345" spans="1:8" ht="14.25" customHeight="1" outlineLevel="3" x14ac:dyDescent="0.25">
      <c r="A345" s="69" t="s">
        <v>10</v>
      </c>
      <c r="B345" s="11">
        <v>9629747</v>
      </c>
      <c r="C345" s="11">
        <v>3080000</v>
      </c>
      <c r="D345" s="11">
        <v>2994703.03</v>
      </c>
      <c r="E345" s="11">
        <v>2994703.03</v>
      </c>
      <c r="F345" s="14">
        <f t="shared" si="32"/>
        <v>0.97230617857142854</v>
      </c>
      <c r="G345" s="14">
        <f t="shared" si="28"/>
        <v>0.31098460115307286</v>
      </c>
    </row>
    <row r="346" spans="1:8" ht="14.25" customHeight="1" outlineLevel="3" x14ac:dyDescent="0.25">
      <c r="A346" s="69" t="s">
        <v>11</v>
      </c>
      <c r="B346" s="11">
        <v>805430</v>
      </c>
      <c r="C346" s="11">
        <v>505430</v>
      </c>
      <c r="D346" s="11">
        <v>91392</v>
      </c>
      <c r="E346" s="11">
        <v>91392</v>
      </c>
      <c r="F346" s="14">
        <f t="shared" si="32"/>
        <v>0.18082029163286706</v>
      </c>
      <c r="G346" s="14">
        <f t="shared" si="28"/>
        <v>0.11346982357250164</v>
      </c>
    </row>
    <row r="347" spans="1:8" ht="14.25" customHeight="1" outlineLevel="3" x14ac:dyDescent="0.25">
      <c r="A347" s="69" t="s">
        <v>12</v>
      </c>
      <c r="B347" s="11">
        <v>6900000</v>
      </c>
      <c r="C347" s="11">
        <v>1900000</v>
      </c>
      <c r="D347" s="11">
        <v>492135.83</v>
      </c>
      <c r="E347" s="11">
        <v>492135.83</v>
      </c>
      <c r="F347" s="14">
        <f t="shared" si="32"/>
        <v>0.25901885789473683</v>
      </c>
      <c r="G347" s="14">
        <f t="shared" si="28"/>
        <v>7.1324033333333342E-2</v>
      </c>
    </row>
    <row r="348" spans="1:8" ht="14.25" customHeight="1" outlineLevel="3" x14ac:dyDescent="0.25">
      <c r="A348" s="69" t="s">
        <v>13</v>
      </c>
      <c r="B348" s="11">
        <v>761088</v>
      </c>
      <c r="C348" s="11">
        <v>399507</v>
      </c>
      <c r="D348" s="11">
        <v>84237.05</v>
      </c>
      <c r="E348" s="11">
        <v>84237.05</v>
      </c>
      <c r="F348" s="14">
        <f t="shared" si="32"/>
        <v>0.21085250070712153</v>
      </c>
      <c r="G348" s="14">
        <f t="shared" ref="G348:G411" si="33">D348/B348</f>
        <v>0.11067977684577868</v>
      </c>
    </row>
    <row r="349" spans="1:8" ht="14.25" customHeight="1" outlineLevel="3" x14ac:dyDescent="0.25">
      <c r="A349" s="69" t="s">
        <v>14</v>
      </c>
      <c r="B349" s="11">
        <v>101851</v>
      </c>
      <c r="C349" s="11">
        <v>32363</v>
      </c>
      <c r="D349" s="11">
        <v>25089.71</v>
      </c>
      <c r="E349" s="11">
        <v>25089.71</v>
      </c>
      <c r="F349" s="14">
        <f t="shared" si="32"/>
        <v>0.77525909217316069</v>
      </c>
      <c r="G349" s="14">
        <f t="shared" si="33"/>
        <v>0.24633739482184761</v>
      </c>
    </row>
    <row r="350" spans="1:8" ht="14.25" customHeight="1" outlineLevel="3" x14ac:dyDescent="0.25">
      <c r="A350" s="69" t="s">
        <v>15</v>
      </c>
      <c r="B350" s="11">
        <v>744290</v>
      </c>
      <c r="C350" s="11">
        <v>287600</v>
      </c>
      <c r="D350" s="11">
        <v>287517.65000000002</v>
      </c>
      <c r="E350" s="11">
        <v>217919.48</v>
      </c>
      <c r="F350" s="14">
        <f t="shared" si="32"/>
        <v>0.99971366481223933</v>
      </c>
      <c r="G350" s="14">
        <f t="shared" si="33"/>
        <v>0.38629788120221958</v>
      </c>
    </row>
    <row r="351" spans="1:8" ht="14.25" customHeight="1" outlineLevel="3" x14ac:dyDescent="0.25">
      <c r="A351" s="69" t="s">
        <v>26</v>
      </c>
      <c r="B351" s="11">
        <v>40240</v>
      </c>
      <c r="C351" s="11">
        <v>15986</v>
      </c>
      <c r="D351" s="11">
        <v>15860.2</v>
      </c>
      <c r="E351" s="11">
        <v>15860.2</v>
      </c>
      <c r="F351" s="14">
        <f t="shared" si="32"/>
        <v>0.9921306142875016</v>
      </c>
      <c r="G351" s="14">
        <f t="shared" si="33"/>
        <v>0.39414015904572569</v>
      </c>
    </row>
    <row r="352" spans="1:8" ht="29.25" customHeight="1" outlineLevel="3" x14ac:dyDescent="0.25">
      <c r="A352" s="69" t="s">
        <v>16</v>
      </c>
      <c r="B352" s="11">
        <v>6000</v>
      </c>
      <c r="C352" s="11">
        <v>6000</v>
      </c>
      <c r="D352" s="12"/>
      <c r="E352" s="12"/>
      <c r="F352" s="14">
        <f t="shared" si="32"/>
        <v>0</v>
      </c>
      <c r="G352" s="14">
        <f t="shared" si="33"/>
        <v>0</v>
      </c>
    </row>
    <row r="353" spans="1:7" s="18" customFormat="1" ht="12.95" customHeight="1" outlineLevel="1" x14ac:dyDescent="0.2">
      <c r="A353" s="70" t="s">
        <v>75</v>
      </c>
      <c r="B353" s="22">
        <v>117650</v>
      </c>
      <c r="C353" s="22">
        <v>36200</v>
      </c>
      <c r="D353" s="22">
        <v>25340</v>
      </c>
      <c r="E353" s="22">
        <v>25340</v>
      </c>
      <c r="F353" s="23">
        <f t="shared" si="32"/>
        <v>0.7</v>
      </c>
      <c r="G353" s="23">
        <f t="shared" si="33"/>
        <v>0.2153846153846154</v>
      </c>
    </row>
    <row r="354" spans="1:7" s="17" customFormat="1" ht="27" customHeight="1" outlineLevel="2" x14ac:dyDescent="0.2">
      <c r="A354" s="83" t="s">
        <v>23</v>
      </c>
      <c r="B354" s="9">
        <v>117650</v>
      </c>
      <c r="C354" s="9">
        <v>36200</v>
      </c>
      <c r="D354" s="9">
        <v>25340</v>
      </c>
      <c r="E354" s="9">
        <v>25340</v>
      </c>
      <c r="F354" s="16">
        <f t="shared" si="32"/>
        <v>0.7</v>
      </c>
      <c r="G354" s="16">
        <f t="shared" si="33"/>
        <v>0.2153846153846154</v>
      </c>
    </row>
    <row r="355" spans="1:7" ht="18.75" customHeight="1" outlineLevel="3" x14ac:dyDescent="0.25">
      <c r="A355" s="69" t="s">
        <v>40</v>
      </c>
      <c r="B355" s="11">
        <v>117650</v>
      </c>
      <c r="C355" s="11">
        <v>36200</v>
      </c>
      <c r="D355" s="11">
        <v>25340</v>
      </c>
      <c r="E355" s="11">
        <v>25340</v>
      </c>
      <c r="F355" s="14">
        <f t="shared" si="32"/>
        <v>0.7</v>
      </c>
      <c r="G355" s="14">
        <f t="shared" si="33"/>
        <v>0.2153846153846154</v>
      </c>
    </row>
    <row r="356" spans="1:7" s="18" customFormat="1" ht="26.1" customHeight="1" outlineLevel="1" x14ac:dyDescent="0.2">
      <c r="A356" s="70" t="s">
        <v>76</v>
      </c>
      <c r="B356" s="22">
        <v>10470123</v>
      </c>
      <c r="C356" s="22">
        <v>4195040</v>
      </c>
      <c r="D356" s="22">
        <v>2616272.36</v>
      </c>
      <c r="E356" s="22">
        <v>2616272.36</v>
      </c>
      <c r="F356" s="23">
        <f t="shared" si="32"/>
        <v>0.62365850146840074</v>
      </c>
      <c r="G356" s="23">
        <f t="shared" si="33"/>
        <v>0.24987981134510071</v>
      </c>
    </row>
    <row r="357" spans="1:7" s="17" customFormat="1" ht="25.5" customHeight="1" outlineLevel="2" x14ac:dyDescent="0.2">
      <c r="A357" s="83" t="s">
        <v>41</v>
      </c>
      <c r="B357" s="9">
        <v>4557928</v>
      </c>
      <c r="C357" s="9">
        <v>1472346</v>
      </c>
      <c r="D357" s="9">
        <v>1195927.1000000001</v>
      </c>
      <c r="E357" s="9">
        <v>1195927.1000000001</v>
      </c>
      <c r="F357" s="16">
        <f t="shared" si="32"/>
        <v>0.81225955040459241</v>
      </c>
      <c r="G357" s="16">
        <f t="shared" si="33"/>
        <v>0.26238393849134961</v>
      </c>
    </row>
    <row r="358" spans="1:7" ht="15" customHeight="1" outlineLevel="3" x14ac:dyDescent="0.25">
      <c r="A358" s="69" t="s">
        <v>9</v>
      </c>
      <c r="B358" s="11">
        <v>2867866</v>
      </c>
      <c r="C358" s="11">
        <v>863600</v>
      </c>
      <c r="D358" s="11">
        <v>817969.3</v>
      </c>
      <c r="E358" s="11">
        <v>817969.3</v>
      </c>
      <c r="F358" s="14">
        <f t="shared" si="32"/>
        <v>0.94716222788327931</v>
      </c>
      <c r="G358" s="14">
        <f t="shared" si="33"/>
        <v>0.28521880032051711</v>
      </c>
    </row>
    <row r="359" spans="1:7" ht="15" customHeight="1" outlineLevel="3" x14ac:dyDescent="0.25">
      <c r="A359" s="69" t="s">
        <v>10</v>
      </c>
      <c r="B359" s="11">
        <v>630930</v>
      </c>
      <c r="C359" s="11">
        <v>189992</v>
      </c>
      <c r="D359" s="11">
        <v>172306.86</v>
      </c>
      <c r="E359" s="11">
        <v>172306.86</v>
      </c>
      <c r="F359" s="14">
        <f t="shared" si="32"/>
        <v>0.90691639647985167</v>
      </c>
      <c r="G359" s="14">
        <f t="shared" si="33"/>
        <v>0.27309980504968856</v>
      </c>
    </row>
    <row r="360" spans="1:7" ht="15" customHeight="1" outlineLevel="3" x14ac:dyDescent="0.25">
      <c r="A360" s="69" t="s">
        <v>11</v>
      </c>
      <c r="B360" s="11">
        <v>409500</v>
      </c>
      <c r="C360" s="11">
        <v>120000</v>
      </c>
      <c r="D360" s="11">
        <v>15772.1</v>
      </c>
      <c r="E360" s="11">
        <v>15772.1</v>
      </c>
      <c r="F360" s="14">
        <f t="shared" si="32"/>
        <v>0.13143416666666666</v>
      </c>
      <c r="G360" s="14">
        <f t="shared" si="33"/>
        <v>3.8515506715506714E-2</v>
      </c>
    </row>
    <row r="361" spans="1:7" ht="15" customHeight="1" outlineLevel="3" x14ac:dyDescent="0.25">
      <c r="A361" s="69" t="s">
        <v>12</v>
      </c>
      <c r="B361" s="11">
        <v>300600</v>
      </c>
      <c r="C361" s="11">
        <v>130000</v>
      </c>
      <c r="D361" s="11">
        <v>32271.52</v>
      </c>
      <c r="E361" s="11">
        <v>32271.52</v>
      </c>
      <c r="F361" s="14">
        <f t="shared" si="32"/>
        <v>0.24824246153846155</v>
      </c>
      <c r="G361" s="14">
        <f t="shared" si="33"/>
        <v>0.10735701929474385</v>
      </c>
    </row>
    <row r="362" spans="1:7" ht="15" customHeight="1" outlineLevel="3" x14ac:dyDescent="0.25">
      <c r="A362" s="69" t="s">
        <v>13</v>
      </c>
      <c r="B362" s="11">
        <v>204526</v>
      </c>
      <c r="C362" s="11">
        <v>143361</v>
      </c>
      <c r="D362" s="11">
        <v>133471.35</v>
      </c>
      <c r="E362" s="11">
        <v>133471.35</v>
      </c>
      <c r="F362" s="14">
        <f t="shared" si="32"/>
        <v>0.93101575742356713</v>
      </c>
      <c r="G362" s="14">
        <f t="shared" si="33"/>
        <v>0.65258866843335328</v>
      </c>
    </row>
    <row r="363" spans="1:7" ht="15" customHeight="1" outlineLevel="3" x14ac:dyDescent="0.25">
      <c r="A363" s="69" t="s">
        <v>14</v>
      </c>
      <c r="B363" s="11">
        <v>15549</v>
      </c>
      <c r="C363" s="11">
        <v>5500</v>
      </c>
      <c r="D363" s="11">
        <v>5490.96</v>
      </c>
      <c r="E363" s="11">
        <v>5490.96</v>
      </c>
      <c r="F363" s="14">
        <f t="shared" si="32"/>
        <v>0.9983563636363636</v>
      </c>
      <c r="G363" s="14">
        <f t="shared" si="33"/>
        <v>0.35313910862434883</v>
      </c>
    </row>
    <row r="364" spans="1:7" ht="15" customHeight="1" outlineLevel="3" x14ac:dyDescent="0.25">
      <c r="A364" s="69" t="s">
        <v>15</v>
      </c>
      <c r="B364" s="11">
        <v>125957</v>
      </c>
      <c r="C364" s="11">
        <v>16893</v>
      </c>
      <c r="D364" s="11">
        <v>16891.009999999998</v>
      </c>
      <c r="E364" s="11">
        <v>16891.009999999998</v>
      </c>
      <c r="F364" s="14">
        <f t="shared" si="32"/>
        <v>0.99988219972769776</v>
      </c>
      <c r="G364" s="14">
        <f t="shared" si="33"/>
        <v>0.13410139968401913</v>
      </c>
    </row>
    <row r="365" spans="1:7" ht="27.75" customHeight="1" outlineLevel="3" x14ac:dyDescent="0.25">
      <c r="A365" s="69" t="s">
        <v>16</v>
      </c>
      <c r="B365" s="11">
        <v>3000</v>
      </c>
      <c r="C365" s="11">
        <v>3000</v>
      </c>
      <c r="D365" s="11">
        <v>1754</v>
      </c>
      <c r="E365" s="11">
        <v>1754</v>
      </c>
      <c r="F365" s="14">
        <f t="shared" ref="F365:F396" si="34">D365/C365</f>
        <v>0.58466666666666667</v>
      </c>
      <c r="G365" s="14">
        <f t="shared" si="33"/>
        <v>0.58466666666666667</v>
      </c>
    </row>
    <row r="366" spans="1:7" s="17" customFormat="1" ht="26.25" customHeight="1" outlineLevel="2" x14ac:dyDescent="0.2">
      <c r="A366" s="83" t="s">
        <v>42</v>
      </c>
      <c r="B366" s="9">
        <v>5912195</v>
      </c>
      <c r="C366" s="9">
        <v>2722694</v>
      </c>
      <c r="D366" s="9">
        <v>1420345.26</v>
      </c>
      <c r="E366" s="9">
        <v>1420345.26</v>
      </c>
      <c r="F366" s="16">
        <f t="shared" si="34"/>
        <v>0.52166907482074742</v>
      </c>
      <c r="G366" s="16">
        <f t="shared" si="33"/>
        <v>0.24023992104455283</v>
      </c>
    </row>
    <row r="367" spans="1:7" ht="13.5" customHeight="1" outlineLevel="3" x14ac:dyDescent="0.25">
      <c r="A367" s="69" t="s">
        <v>9</v>
      </c>
      <c r="B367" s="11">
        <v>3624012</v>
      </c>
      <c r="C367" s="11">
        <v>1137700</v>
      </c>
      <c r="D367" s="11">
        <v>1046569.52</v>
      </c>
      <c r="E367" s="11">
        <v>1046569.52</v>
      </c>
      <c r="F367" s="14">
        <f t="shared" si="34"/>
        <v>0.9198993759339017</v>
      </c>
      <c r="G367" s="14">
        <f t="shared" si="33"/>
        <v>0.28878754264610601</v>
      </c>
    </row>
    <row r="368" spans="1:7" ht="13.5" customHeight="1" outlineLevel="3" x14ac:dyDescent="0.25">
      <c r="A368" s="69" t="s">
        <v>10</v>
      </c>
      <c r="B368" s="11">
        <v>797283</v>
      </c>
      <c r="C368" s="11">
        <v>250294</v>
      </c>
      <c r="D368" s="11">
        <v>225394.09</v>
      </c>
      <c r="E368" s="11">
        <v>225394.09</v>
      </c>
      <c r="F368" s="14">
        <f t="shared" si="34"/>
        <v>0.90051735159452484</v>
      </c>
      <c r="G368" s="14">
        <f t="shared" si="33"/>
        <v>0.2827027416864526</v>
      </c>
    </row>
    <row r="369" spans="1:7" ht="13.5" customHeight="1" outlineLevel="3" x14ac:dyDescent="0.25">
      <c r="A369" s="69" t="s">
        <v>11</v>
      </c>
      <c r="B369" s="11">
        <v>290500</v>
      </c>
      <c r="C369" s="11">
        <v>290500</v>
      </c>
      <c r="D369" s="11">
        <v>21600</v>
      </c>
      <c r="E369" s="11">
        <v>21600</v>
      </c>
      <c r="F369" s="14">
        <f t="shared" si="34"/>
        <v>7.4354561101549047E-2</v>
      </c>
      <c r="G369" s="14">
        <f t="shared" si="33"/>
        <v>7.4354561101549047E-2</v>
      </c>
    </row>
    <row r="370" spans="1:7" ht="13.5" customHeight="1" outlineLevel="3" x14ac:dyDescent="0.25">
      <c r="A370" s="69" t="s">
        <v>12</v>
      </c>
      <c r="B370" s="11">
        <v>899400</v>
      </c>
      <c r="C370" s="11">
        <v>899400</v>
      </c>
      <c r="D370" s="11">
        <v>40899.5</v>
      </c>
      <c r="E370" s="11">
        <v>40899.5</v>
      </c>
      <c r="F370" s="14">
        <f t="shared" si="34"/>
        <v>4.5474205025572603E-2</v>
      </c>
      <c r="G370" s="14">
        <f t="shared" si="33"/>
        <v>4.5474205025572603E-2</v>
      </c>
    </row>
    <row r="371" spans="1:7" ht="13.5" customHeight="1" outlineLevel="3" x14ac:dyDescent="0.25">
      <c r="A371" s="69" t="s">
        <v>13</v>
      </c>
      <c r="B371" s="11">
        <v>191193</v>
      </c>
      <c r="C371" s="11">
        <v>76193</v>
      </c>
      <c r="D371" s="11">
        <v>31102.28</v>
      </c>
      <c r="E371" s="11">
        <v>31102.28</v>
      </c>
      <c r="F371" s="14">
        <f t="shared" si="34"/>
        <v>0.40820390324570499</v>
      </c>
      <c r="G371" s="14">
        <f t="shared" si="33"/>
        <v>0.16267478411866543</v>
      </c>
    </row>
    <row r="372" spans="1:7" ht="13.5" customHeight="1" outlineLevel="3" x14ac:dyDescent="0.25">
      <c r="A372" s="69" t="s">
        <v>14</v>
      </c>
      <c r="B372" s="11">
        <v>20000</v>
      </c>
      <c r="C372" s="11">
        <v>6800</v>
      </c>
      <c r="D372" s="11">
        <v>4250.88</v>
      </c>
      <c r="E372" s="11">
        <v>4250.88</v>
      </c>
      <c r="F372" s="14">
        <f t="shared" si="34"/>
        <v>0.62512941176470593</v>
      </c>
      <c r="G372" s="14">
        <f t="shared" si="33"/>
        <v>0.21254400000000001</v>
      </c>
    </row>
    <row r="373" spans="1:7" ht="13.5" customHeight="1" outlineLevel="3" x14ac:dyDescent="0.25">
      <c r="A373" s="69" t="s">
        <v>15</v>
      </c>
      <c r="B373" s="11">
        <v>86807</v>
      </c>
      <c r="C373" s="11">
        <v>58807</v>
      </c>
      <c r="D373" s="11">
        <v>50528.99</v>
      </c>
      <c r="E373" s="11">
        <v>50528.99</v>
      </c>
      <c r="F373" s="14">
        <f t="shared" si="34"/>
        <v>0.8592342748312275</v>
      </c>
      <c r="G373" s="14">
        <f t="shared" si="33"/>
        <v>0.58208427891759884</v>
      </c>
    </row>
    <row r="374" spans="1:7" ht="28.5" customHeight="1" outlineLevel="3" x14ac:dyDescent="0.25">
      <c r="A374" s="69" t="s">
        <v>16</v>
      </c>
      <c r="B374" s="11">
        <v>3000</v>
      </c>
      <c r="C374" s="11">
        <v>3000</v>
      </c>
      <c r="D374" s="12"/>
      <c r="E374" s="12"/>
      <c r="F374" s="14">
        <f t="shared" si="34"/>
        <v>0</v>
      </c>
      <c r="G374" s="14">
        <f t="shared" si="33"/>
        <v>0</v>
      </c>
    </row>
    <row r="375" spans="1:7" s="18" customFormat="1" ht="24.75" customHeight="1" outlineLevel="1" x14ac:dyDescent="0.2">
      <c r="A375" s="70" t="s">
        <v>77</v>
      </c>
      <c r="B375" s="22">
        <v>5791281</v>
      </c>
      <c r="C375" s="22">
        <v>2634160</v>
      </c>
      <c r="D375" s="22">
        <v>2634160</v>
      </c>
      <c r="E375" s="22">
        <v>2634160</v>
      </c>
      <c r="F375" s="23">
        <f t="shared" si="34"/>
        <v>1</v>
      </c>
      <c r="G375" s="23">
        <f t="shared" si="33"/>
        <v>0.45484928118666662</v>
      </c>
    </row>
    <row r="376" spans="1:7" s="17" customFormat="1" ht="28.5" customHeight="1" outlineLevel="2" x14ac:dyDescent="0.2">
      <c r="A376" s="83" t="s">
        <v>41</v>
      </c>
      <c r="B376" s="9">
        <v>2528513</v>
      </c>
      <c r="C376" s="9">
        <v>1150075</v>
      </c>
      <c r="D376" s="9">
        <v>1150075</v>
      </c>
      <c r="E376" s="9">
        <v>1150075</v>
      </c>
      <c r="F376" s="16">
        <f t="shared" si="34"/>
        <v>1</v>
      </c>
      <c r="G376" s="16">
        <f t="shared" si="33"/>
        <v>0.45484243110476397</v>
      </c>
    </row>
    <row r="377" spans="1:7" ht="14.25" customHeight="1" outlineLevel="3" x14ac:dyDescent="0.25">
      <c r="A377" s="69" t="s">
        <v>9</v>
      </c>
      <c r="B377" s="11">
        <v>2072552</v>
      </c>
      <c r="C377" s="11">
        <v>942684</v>
      </c>
      <c r="D377" s="11">
        <v>942684</v>
      </c>
      <c r="E377" s="11">
        <v>942684</v>
      </c>
      <c r="F377" s="14">
        <f t="shared" si="34"/>
        <v>1</v>
      </c>
      <c r="G377" s="14">
        <f t="shared" si="33"/>
        <v>0.45484214630079245</v>
      </c>
    </row>
    <row r="378" spans="1:7" ht="14.25" customHeight="1" outlineLevel="3" x14ac:dyDescent="0.25">
      <c r="A378" s="69" t="s">
        <v>10</v>
      </c>
      <c r="B378" s="11">
        <v>455961</v>
      </c>
      <c r="C378" s="11">
        <v>207391</v>
      </c>
      <c r="D378" s="11">
        <v>207391</v>
      </c>
      <c r="E378" s="11">
        <v>207391</v>
      </c>
      <c r="F378" s="14">
        <f t="shared" si="34"/>
        <v>1</v>
      </c>
      <c r="G378" s="14">
        <f t="shared" si="33"/>
        <v>0.45484372566951997</v>
      </c>
    </row>
    <row r="379" spans="1:7" s="17" customFormat="1" ht="27" customHeight="1" outlineLevel="2" x14ac:dyDescent="0.2">
      <c r="A379" s="83" t="s">
        <v>42</v>
      </c>
      <c r="B379" s="9">
        <v>3262768</v>
      </c>
      <c r="C379" s="9">
        <v>1484085</v>
      </c>
      <c r="D379" s="9">
        <v>1484085</v>
      </c>
      <c r="E379" s="9">
        <v>1484085</v>
      </c>
      <c r="F379" s="16">
        <f t="shared" si="34"/>
        <v>1</v>
      </c>
      <c r="G379" s="16">
        <f t="shared" si="33"/>
        <v>0.45485458972259135</v>
      </c>
    </row>
    <row r="380" spans="1:7" ht="14.25" customHeight="1" outlineLevel="3" x14ac:dyDescent="0.25">
      <c r="A380" s="69" t="s">
        <v>9</v>
      </c>
      <c r="B380" s="11">
        <v>2674400</v>
      </c>
      <c r="C380" s="11">
        <v>1216464</v>
      </c>
      <c r="D380" s="11">
        <v>1216464</v>
      </c>
      <c r="E380" s="11">
        <v>1216464</v>
      </c>
      <c r="F380" s="14">
        <f t="shared" si="34"/>
        <v>1</v>
      </c>
      <c r="G380" s="14">
        <f t="shared" si="33"/>
        <v>0.45485492072988332</v>
      </c>
    </row>
    <row r="381" spans="1:7" ht="14.25" customHeight="1" outlineLevel="3" x14ac:dyDescent="0.25">
      <c r="A381" s="69" t="s">
        <v>10</v>
      </c>
      <c r="B381" s="11">
        <v>588368</v>
      </c>
      <c r="C381" s="11">
        <v>267621</v>
      </c>
      <c r="D381" s="11">
        <v>267621</v>
      </c>
      <c r="E381" s="11">
        <v>267621</v>
      </c>
      <c r="F381" s="14">
        <f t="shared" si="34"/>
        <v>1</v>
      </c>
      <c r="G381" s="14">
        <f t="shared" si="33"/>
        <v>0.45485308514399153</v>
      </c>
    </row>
    <row r="382" spans="1:7" s="18" customFormat="1" ht="64.5" customHeight="1" outlineLevel="1" x14ac:dyDescent="0.2">
      <c r="A382" s="70" t="s">
        <v>123</v>
      </c>
      <c r="B382" s="22">
        <v>3286500</v>
      </c>
      <c r="C382" s="22">
        <v>2182900</v>
      </c>
      <c r="D382" s="22">
        <v>2182900</v>
      </c>
      <c r="E382" s="22">
        <v>677437.68</v>
      </c>
      <c r="F382" s="23">
        <f t="shared" si="34"/>
        <v>1</v>
      </c>
      <c r="G382" s="23">
        <f t="shared" si="33"/>
        <v>0.66420203864293326</v>
      </c>
    </row>
    <row r="383" spans="1:7" s="17" customFormat="1" ht="25.5" customHeight="1" outlineLevel="2" x14ac:dyDescent="0.2">
      <c r="A383" s="83" t="s">
        <v>28</v>
      </c>
      <c r="B383" s="9">
        <v>220853</v>
      </c>
      <c r="C383" s="9">
        <v>146694</v>
      </c>
      <c r="D383" s="9">
        <v>146694</v>
      </c>
      <c r="E383" s="9">
        <v>41109.17</v>
      </c>
      <c r="F383" s="16">
        <f t="shared" si="34"/>
        <v>1</v>
      </c>
      <c r="G383" s="16">
        <f t="shared" si="33"/>
        <v>0.664215564198811</v>
      </c>
    </row>
    <row r="384" spans="1:7" ht="12.75" customHeight="1" outlineLevel="3" x14ac:dyDescent="0.25">
      <c r="A384" s="69" t="s">
        <v>9</v>
      </c>
      <c r="B384" s="11">
        <v>181027</v>
      </c>
      <c r="C384" s="11">
        <v>120241</v>
      </c>
      <c r="D384" s="11">
        <v>120241</v>
      </c>
      <c r="E384" s="11">
        <v>33696.04</v>
      </c>
      <c r="F384" s="14">
        <f t="shared" si="34"/>
        <v>1</v>
      </c>
      <c r="G384" s="14">
        <f t="shared" si="33"/>
        <v>0.66421583520690286</v>
      </c>
    </row>
    <row r="385" spans="1:7" ht="12.75" customHeight="1" outlineLevel="3" x14ac:dyDescent="0.25">
      <c r="A385" s="69" t="s">
        <v>10</v>
      </c>
      <c r="B385" s="11">
        <v>39826</v>
      </c>
      <c r="C385" s="11">
        <v>26453</v>
      </c>
      <c r="D385" s="11">
        <v>26453</v>
      </c>
      <c r="E385" s="11">
        <v>7413.13</v>
      </c>
      <c r="F385" s="14">
        <f t="shared" si="34"/>
        <v>1</v>
      </c>
      <c r="G385" s="14">
        <f t="shared" si="33"/>
        <v>0.66421433234570382</v>
      </c>
    </row>
    <row r="386" spans="1:7" s="17" customFormat="1" ht="15.75" customHeight="1" outlineLevel="2" x14ac:dyDescent="0.2">
      <c r="A386" s="83" t="s">
        <v>33</v>
      </c>
      <c r="B386" s="9">
        <v>137675</v>
      </c>
      <c r="C386" s="9">
        <v>91442</v>
      </c>
      <c r="D386" s="9">
        <v>91442</v>
      </c>
      <c r="E386" s="9">
        <v>54063.74</v>
      </c>
      <c r="F386" s="16">
        <f t="shared" si="34"/>
        <v>1</v>
      </c>
      <c r="G386" s="16">
        <f t="shared" si="33"/>
        <v>0.66418739785727254</v>
      </c>
    </row>
    <row r="387" spans="1:7" ht="15" customHeight="1" outlineLevel="3" x14ac:dyDescent="0.25">
      <c r="A387" s="69" t="s">
        <v>9</v>
      </c>
      <c r="B387" s="11">
        <v>112848</v>
      </c>
      <c r="C387" s="11">
        <v>74953</v>
      </c>
      <c r="D387" s="11">
        <v>74953</v>
      </c>
      <c r="E387" s="11">
        <v>44314.54</v>
      </c>
      <c r="F387" s="14">
        <f t="shared" si="34"/>
        <v>1</v>
      </c>
      <c r="G387" s="14">
        <f t="shared" si="33"/>
        <v>0.66419431447610944</v>
      </c>
    </row>
    <row r="388" spans="1:7" ht="15" customHeight="1" outlineLevel="3" x14ac:dyDescent="0.25">
      <c r="A388" s="69" t="s">
        <v>10</v>
      </c>
      <c r="B388" s="11">
        <v>24827</v>
      </c>
      <c r="C388" s="11">
        <v>16489</v>
      </c>
      <c r="D388" s="11">
        <v>16489</v>
      </c>
      <c r="E388" s="11">
        <v>9749.2000000000007</v>
      </c>
      <c r="F388" s="14">
        <f t="shared" si="34"/>
        <v>1</v>
      </c>
      <c r="G388" s="14">
        <f t="shared" si="33"/>
        <v>0.66415595923792647</v>
      </c>
    </row>
    <row r="389" spans="1:7" s="17" customFormat="1" ht="14.25" customHeight="1" outlineLevel="2" x14ac:dyDescent="0.2">
      <c r="A389" s="83" t="s">
        <v>30</v>
      </c>
      <c r="B389" s="9">
        <v>8605</v>
      </c>
      <c r="C389" s="9">
        <v>5717</v>
      </c>
      <c r="D389" s="9">
        <v>5717</v>
      </c>
      <c r="E389" s="9">
        <v>5700.01</v>
      </c>
      <c r="F389" s="16">
        <f t="shared" si="34"/>
        <v>1</v>
      </c>
      <c r="G389" s="16">
        <f t="shared" si="33"/>
        <v>0.66438117373619987</v>
      </c>
    </row>
    <row r="390" spans="1:7" ht="13.5" customHeight="1" outlineLevel="3" x14ac:dyDescent="0.25">
      <c r="A390" s="69" t="s">
        <v>9</v>
      </c>
      <c r="B390" s="11">
        <v>7053</v>
      </c>
      <c r="C390" s="11">
        <v>4685</v>
      </c>
      <c r="D390" s="11">
        <v>4685</v>
      </c>
      <c r="E390" s="11">
        <v>4672.1400000000003</v>
      </c>
      <c r="F390" s="14">
        <f t="shared" si="34"/>
        <v>1</v>
      </c>
      <c r="G390" s="14">
        <f t="shared" si="33"/>
        <v>0.66425634481780804</v>
      </c>
    </row>
    <row r="391" spans="1:7" ht="13.5" customHeight="1" outlineLevel="3" x14ac:dyDescent="0.25">
      <c r="A391" s="69" t="s">
        <v>10</v>
      </c>
      <c r="B391" s="11">
        <v>1552</v>
      </c>
      <c r="C391" s="11">
        <v>1032</v>
      </c>
      <c r="D391" s="11">
        <v>1032</v>
      </c>
      <c r="E391" s="11">
        <v>1027.8699999999999</v>
      </c>
      <c r="F391" s="14">
        <f t="shared" si="34"/>
        <v>1</v>
      </c>
      <c r="G391" s="14">
        <f t="shared" si="33"/>
        <v>0.66494845360824739</v>
      </c>
    </row>
    <row r="392" spans="1:7" s="17" customFormat="1" ht="29.25" customHeight="1" outlineLevel="2" x14ac:dyDescent="0.2">
      <c r="A392" s="83" t="s">
        <v>35</v>
      </c>
      <c r="B392" s="9">
        <v>51628</v>
      </c>
      <c r="C392" s="9">
        <v>34291</v>
      </c>
      <c r="D392" s="9">
        <v>34291</v>
      </c>
      <c r="E392" s="9">
        <v>21763.68</v>
      </c>
      <c r="F392" s="16">
        <f t="shared" si="34"/>
        <v>1</v>
      </c>
      <c r="G392" s="16">
        <f t="shared" si="33"/>
        <v>0.66419384829937245</v>
      </c>
    </row>
    <row r="393" spans="1:7" ht="14.25" customHeight="1" outlineLevel="3" x14ac:dyDescent="0.25">
      <c r="A393" s="69" t="s">
        <v>9</v>
      </c>
      <c r="B393" s="11">
        <v>42318</v>
      </c>
      <c r="C393" s="11">
        <v>28107</v>
      </c>
      <c r="D393" s="11">
        <v>28107</v>
      </c>
      <c r="E393" s="11">
        <v>17839.080000000002</v>
      </c>
      <c r="F393" s="14">
        <f t="shared" si="34"/>
        <v>1</v>
      </c>
      <c r="G393" s="14">
        <f t="shared" si="33"/>
        <v>0.664185452998724</v>
      </c>
    </row>
    <row r="394" spans="1:7" ht="14.25" customHeight="1" outlineLevel="3" x14ac:dyDescent="0.25">
      <c r="A394" s="69" t="s">
        <v>10</v>
      </c>
      <c r="B394" s="11">
        <v>9310</v>
      </c>
      <c r="C394" s="11">
        <v>6184</v>
      </c>
      <c r="D394" s="11">
        <v>6184</v>
      </c>
      <c r="E394" s="11">
        <v>3924.6</v>
      </c>
      <c r="F394" s="14">
        <f t="shared" si="34"/>
        <v>1</v>
      </c>
      <c r="G394" s="14">
        <f t="shared" si="33"/>
        <v>0.66423200859291087</v>
      </c>
    </row>
    <row r="395" spans="1:7" s="17" customFormat="1" ht="27" customHeight="1" outlineLevel="2" x14ac:dyDescent="0.2">
      <c r="A395" s="83" t="s">
        <v>23</v>
      </c>
      <c r="B395" s="9">
        <v>2818979</v>
      </c>
      <c r="C395" s="9">
        <v>1872370</v>
      </c>
      <c r="D395" s="9">
        <v>1872370</v>
      </c>
      <c r="E395" s="9">
        <v>554801.07999999996</v>
      </c>
      <c r="F395" s="16">
        <f t="shared" si="34"/>
        <v>1</v>
      </c>
      <c r="G395" s="16">
        <f t="shared" si="33"/>
        <v>0.66420147152568354</v>
      </c>
    </row>
    <row r="396" spans="1:7" ht="12.75" customHeight="1" outlineLevel="3" x14ac:dyDescent="0.25">
      <c r="A396" s="69" t="s">
        <v>9</v>
      </c>
      <c r="B396" s="11">
        <v>2310687</v>
      </c>
      <c r="C396" s="11">
        <v>1534768</v>
      </c>
      <c r="D396" s="11">
        <v>1534768</v>
      </c>
      <c r="E396" s="11">
        <v>454754.96</v>
      </c>
      <c r="F396" s="14">
        <f t="shared" si="34"/>
        <v>1</v>
      </c>
      <c r="G396" s="14">
        <f t="shared" si="33"/>
        <v>0.66420419554876975</v>
      </c>
    </row>
    <row r="397" spans="1:7" ht="12.75" customHeight="1" outlineLevel="3" x14ac:dyDescent="0.25">
      <c r="A397" s="69" t="s">
        <v>10</v>
      </c>
      <c r="B397" s="11">
        <v>508292</v>
      </c>
      <c r="C397" s="11">
        <v>337602</v>
      </c>
      <c r="D397" s="11">
        <v>337602</v>
      </c>
      <c r="E397" s="11">
        <v>100046.12</v>
      </c>
      <c r="F397" s="14">
        <f t="shared" ref="F397:F428" si="35">D397/C397</f>
        <v>1</v>
      </c>
      <c r="G397" s="14">
        <f t="shared" si="33"/>
        <v>0.66418908816192268</v>
      </c>
    </row>
    <row r="398" spans="1:7" s="17" customFormat="1" ht="16.5" customHeight="1" outlineLevel="2" x14ac:dyDescent="0.2">
      <c r="A398" s="83" t="s">
        <v>36</v>
      </c>
      <c r="B398" s="9">
        <v>48760</v>
      </c>
      <c r="C398" s="9">
        <v>32386</v>
      </c>
      <c r="D398" s="9">
        <v>32386</v>
      </c>
      <c r="E398" s="80"/>
      <c r="F398" s="16">
        <f t="shared" si="35"/>
        <v>1</v>
      </c>
      <c r="G398" s="16">
        <f t="shared" si="33"/>
        <v>0.66419196062346186</v>
      </c>
    </row>
    <row r="399" spans="1:7" ht="13.5" customHeight="1" outlineLevel="3" x14ac:dyDescent="0.25">
      <c r="A399" s="69" t="s">
        <v>9</v>
      </c>
      <c r="B399" s="11">
        <v>39967</v>
      </c>
      <c r="C399" s="11">
        <v>26546</v>
      </c>
      <c r="D399" s="11">
        <v>26546</v>
      </c>
      <c r="E399" s="12"/>
      <c r="F399" s="14">
        <f t="shared" si="35"/>
        <v>1</v>
      </c>
      <c r="G399" s="14">
        <f t="shared" si="33"/>
        <v>0.66419796331973879</v>
      </c>
    </row>
    <row r="400" spans="1:7" ht="13.5" customHeight="1" outlineLevel="3" x14ac:dyDescent="0.25">
      <c r="A400" s="69" t="s">
        <v>10</v>
      </c>
      <c r="B400" s="11">
        <v>8793</v>
      </c>
      <c r="C400" s="11">
        <v>5840</v>
      </c>
      <c r="D400" s="11">
        <v>5840</v>
      </c>
      <c r="E400" s="12"/>
      <c r="F400" s="14">
        <f t="shared" si="35"/>
        <v>1</v>
      </c>
      <c r="G400" s="14">
        <f t="shared" si="33"/>
        <v>0.66416467644717392</v>
      </c>
    </row>
    <row r="401" spans="1:7" s="18" customFormat="1" ht="40.5" customHeight="1" outlineLevel="1" x14ac:dyDescent="0.2">
      <c r="A401" s="70" t="s">
        <v>116</v>
      </c>
      <c r="B401" s="22">
        <v>19195268</v>
      </c>
      <c r="C401" s="22">
        <v>13875268</v>
      </c>
      <c r="D401" s="22">
        <v>2740579.22</v>
      </c>
      <c r="E401" s="22">
        <v>773747.19</v>
      </c>
      <c r="F401" s="23">
        <f t="shared" si="35"/>
        <v>0.1975154079906781</v>
      </c>
      <c r="G401" s="23">
        <f t="shared" si="33"/>
        <v>0.14277368880705391</v>
      </c>
    </row>
    <row r="402" spans="1:7" s="17" customFormat="1" ht="30.75" customHeight="1" outlineLevel="2" x14ac:dyDescent="0.2">
      <c r="A402" s="83" t="s">
        <v>23</v>
      </c>
      <c r="B402" s="9">
        <v>19195268</v>
      </c>
      <c r="C402" s="9">
        <v>13875268</v>
      </c>
      <c r="D402" s="9">
        <v>2740579.22</v>
      </c>
      <c r="E402" s="9">
        <v>773747.19</v>
      </c>
      <c r="F402" s="16">
        <f t="shared" si="35"/>
        <v>0.1975154079906781</v>
      </c>
      <c r="G402" s="16">
        <f t="shared" si="33"/>
        <v>0.14277368880705391</v>
      </c>
    </row>
    <row r="403" spans="1:7" ht="16.5" customHeight="1" outlineLevel="3" x14ac:dyDescent="0.25">
      <c r="A403" s="69" t="s">
        <v>57</v>
      </c>
      <c r="B403" s="11">
        <v>19195268</v>
      </c>
      <c r="C403" s="11">
        <v>13875268</v>
      </c>
      <c r="D403" s="11">
        <v>2740579.22</v>
      </c>
      <c r="E403" s="11">
        <v>773747.19</v>
      </c>
      <c r="F403" s="14">
        <f t="shared" si="35"/>
        <v>0.1975154079906781</v>
      </c>
      <c r="G403" s="14">
        <f t="shared" si="33"/>
        <v>0.14277368880705391</v>
      </c>
    </row>
    <row r="404" spans="1:7" s="18" customFormat="1" ht="40.5" customHeight="1" outlineLevel="1" x14ac:dyDescent="0.2">
      <c r="A404" s="70" t="s">
        <v>78</v>
      </c>
      <c r="B404" s="22">
        <v>88849153</v>
      </c>
      <c r="C404" s="22">
        <v>59232776</v>
      </c>
      <c r="D404" s="22">
        <v>59232776</v>
      </c>
      <c r="E404" s="22">
        <v>51317593.229999997</v>
      </c>
      <c r="F404" s="23">
        <f t="shared" si="35"/>
        <v>1</v>
      </c>
      <c r="G404" s="23">
        <f t="shared" si="33"/>
        <v>0.66666674920356306</v>
      </c>
    </row>
    <row r="405" spans="1:7" s="17" customFormat="1" ht="25.5" customHeight="1" outlineLevel="2" x14ac:dyDescent="0.2">
      <c r="A405" s="83" t="s">
        <v>28</v>
      </c>
      <c r="B405" s="9">
        <v>3519396</v>
      </c>
      <c r="C405" s="9">
        <v>2346264</v>
      </c>
      <c r="D405" s="9">
        <v>2346264</v>
      </c>
      <c r="E405" s="9">
        <v>2134826.5499999998</v>
      </c>
      <c r="F405" s="16">
        <f t="shared" si="35"/>
        <v>1</v>
      </c>
      <c r="G405" s="16">
        <f t="shared" si="33"/>
        <v>0.66666666666666663</v>
      </c>
    </row>
    <row r="406" spans="1:7" ht="14.25" customHeight="1" outlineLevel="3" x14ac:dyDescent="0.25">
      <c r="A406" s="69" t="s">
        <v>9</v>
      </c>
      <c r="B406" s="11">
        <v>2884752</v>
      </c>
      <c r="C406" s="11">
        <v>1923168</v>
      </c>
      <c r="D406" s="11">
        <v>1923168</v>
      </c>
      <c r="E406" s="11">
        <v>1749857.83</v>
      </c>
      <c r="F406" s="14">
        <f t="shared" si="35"/>
        <v>1</v>
      </c>
      <c r="G406" s="14">
        <f t="shared" si="33"/>
        <v>0.66666666666666663</v>
      </c>
    </row>
    <row r="407" spans="1:7" ht="14.25" customHeight="1" outlineLevel="3" x14ac:dyDescent="0.25">
      <c r="A407" s="69" t="s">
        <v>10</v>
      </c>
      <c r="B407" s="11">
        <v>634644</v>
      </c>
      <c r="C407" s="11">
        <v>423096</v>
      </c>
      <c r="D407" s="11">
        <v>423096</v>
      </c>
      <c r="E407" s="11">
        <v>384968.72</v>
      </c>
      <c r="F407" s="14">
        <f t="shared" si="35"/>
        <v>1</v>
      </c>
      <c r="G407" s="14">
        <f t="shared" si="33"/>
        <v>0.66666666666666663</v>
      </c>
    </row>
    <row r="408" spans="1:7" s="17" customFormat="1" ht="18.75" customHeight="1" outlineLevel="2" x14ac:dyDescent="0.2">
      <c r="A408" s="83" t="s">
        <v>33</v>
      </c>
      <c r="B408" s="9">
        <v>3754254</v>
      </c>
      <c r="C408" s="9">
        <v>2502836</v>
      </c>
      <c r="D408" s="9">
        <v>2502836</v>
      </c>
      <c r="E408" s="9">
        <v>2265284.39</v>
      </c>
      <c r="F408" s="16">
        <f t="shared" si="35"/>
        <v>1</v>
      </c>
      <c r="G408" s="16">
        <f t="shared" si="33"/>
        <v>0.66666666666666663</v>
      </c>
    </row>
    <row r="409" spans="1:7" ht="13.5" customHeight="1" outlineLevel="3" x14ac:dyDescent="0.25">
      <c r="A409" s="69" t="s">
        <v>9</v>
      </c>
      <c r="B409" s="11">
        <v>3077256</v>
      </c>
      <c r="C409" s="11">
        <v>2051504</v>
      </c>
      <c r="D409" s="11">
        <v>2051504</v>
      </c>
      <c r="E409" s="11">
        <v>1856790.49</v>
      </c>
      <c r="F409" s="14">
        <f t="shared" si="35"/>
        <v>1</v>
      </c>
      <c r="G409" s="14">
        <f t="shared" si="33"/>
        <v>0.66666666666666663</v>
      </c>
    </row>
    <row r="410" spans="1:7" ht="13.5" customHeight="1" outlineLevel="3" x14ac:dyDescent="0.25">
      <c r="A410" s="69" t="s">
        <v>10</v>
      </c>
      <c r="B410" s="11">
        <v>676998</v>
      </c>
      <c r="C410" s="11">
        <v>451332</v>
      </c>
      <c r="D410" s="11">
        <v>451332</v>
      </c>
      <c r="E410" s="11">
        <v>408493.9</v>
      </c>
      <c r="F410" s="14">
        <f t="shared" si="35"/>
        <v>1</v>
      </c>
      <c r="G410" s="14">
        <f t="shared" si="33"/>
        <v>0.66666666666666663</v>
      </c>
    </row>
    <row r="411" spans="1:7" s="17" customFormat="1" ht="18.75" customHeight="1" outlineLevel="2" x14ac:dyDescent="0.2">
      <c r="A411" s="83" t="s">
        <v>30</v>
      </c>
      <c r="B411" s="9">
        <v>4927422</v>
      </c>
      <c r="C411" s="9">
        <v>3284948</v>
      </c>
      <c r="D411" s="9">
        <v>3284948</v>
      </c>
      <c r="E411" s="9">
        <v>2702270.38</v>
      </c>
      <c r="F411" s="16">
        <f t="shared" si="35"/>
        <v>1</v>
      </c>
      <c r="G411" s="16">
        <f t="shared" si="33"/>
        <v>0.66666666666666663</v>
      </c>
    </row>
    <row r="412" spans="1:7" ht="12.75" customHeight="1" outlineLevel="3" x14ac:dyDescent="0.25">
      <c r="A412" s="69" t="s">
        <v>9</v>
      </c>
      <c r="B412" s="11">
        <v>4038870</v>
      </c>
      <c r="C412" s="11">
        <v>2692580</v>
      </c>
      <c r="D412" s="11">
        <v>2692580</v>
      </c>
      <c r="E412" s="11">
        <v>2214975.73</v>
      </c>
      <c r="F412" s="14">
        <f t="shared" si="35"/>
        <v>1</v>
      </c>
      <c r="G412" s="14">
        <f t="shared" ref="G412:G435" si="36">D412/B412</f>
        <v>0.66666666666666663</v>
      </c>
    </row>
    <row r="413" spans="1:7" ht="12.75" customHeight="1" outlineLevel="3" x14ac:dyDescent="0.25">
      <c r="A413" s="69" t="s">
        <v>10</v>
      </c>
      <c r="B413" s="11">
        <v>888552</v>
      </c>
      <c r="C413" s="11">
        <v>592368</v>
      </c>
      <c r="D413" s="11">
        <v>592368</v>
      </c>
      <c r="E413" s="11">
        <v>487294.65</v>
      </c>
      <c r="F413" s="14">
        <f t="shared" si="35"/>
        <v>1</v>
      </c>
      <c r="G413" s="14">
        <f t="shared" si="36"/>
        <v>0.66666666666666663</v>
      </c>
    </row>
    <row r="414" spans="1:7" s="17" customFormat="1" ht="27.75" customHeight="1" outlineLevel="2" x14ac:dyDescent="0.2">
      <c r="A414" s="83" t="s">
        <v>35</v>
      </c>
      <c r="B414" s="9">
        <v>2221986</v>
      </c>
      <c r="C414" s="9">
        <v>1481324</v>
      </c>
      <c r="D414" s="9">
        <v>1481324</v>
      </c>
      <c r="E414" s="9">
        <v>1415943.51</v>
      </c>
      <c r="F414" s="16">
        <f t="shared" si="35"/>
        <v>1</v>
      </c>
      <c r="G414" s="16">
        <f t="shared" si="36"/>
        <v>0.66666666666666663</v>
      </c>
    </row>
    <row r="415" spans="1:7" ht="13.5" customHeight="1" outlineLevel="3" x14ac:dyDescent="0.25">
      <c r="A415" s="69" t="s">
        <v>9</v>
      </c>
      <c r="B415" s="11">
        <v>1821300</v>
      </c>
      <c r="C415" s="11">
        <v>1214200</v>
      </c>
      <c r="D415" s="11">
        <v>1214200</v>
      </c>
      <c r="E415" s="11">
        <v>1160609.44</v>
      </c>
      <c r="F415" s="14">
        <f t="shared" si="35"/>
        <v>1</v>
      </c>
      <c r="G415" s="14">
        <f t="shared" si="36"/>
        <v>0.66666666666666663</v>
      </c>
    </row>
    <row r="416" spans="1:7" ht="13.5" customHeight="1" outlineLevel="3" x14ac:dyDescent="0.25">
      <c r="A416" s="69" t="s">
        <v>10</v>
      </c>
      <c r="B416" s="11">
        <v>400686</v>
      </c>
      <c r="C416" s="11">
        <v>267124</v>
      </c>
      <c r="D416" s="11">
        <v>267124</v>
      </c>
      <c r="E416" s="11">
        <v>255334.07</v>
      </c>
      <c r="F416" s="14">
        <f t="shared" si="35"/>
        <v>1</v>
      </c>
      <c r="G416" s="14">
        <f t="shared" si="36"/>
        <v>0.66666666666666663</v>
      </c>
    </row>
    <row r="417" spans="1:7" s="17" customFormat="1" ht="26.25" customHeight="1" outlineLevel="2" x14ac:dyDescent="0.2">
      <c r="A417" s="83" t="s">
        <v>23</v>
      </c>
      <c r="B417" s="9">
        <v>69890011</v>
      </c>
      <c r="C417" s="9">
        <v>46593348</v>
      </c>
      <c r="D417" s="9">
        <v>46593348</v>
      </c>
      <c r="E417" s="9">
        <v>40285699.979999997</v>
      </c>
      <c r="F417" s="16">
        <f t="shared" si="35"/>
        <v>1</v>
      </c>
      <c r="G417" s="16">
        <f t="shared" si="36"/>
        <v>0.6666667715934399</v>
      </c>
    </row>
    <row r="418" spans="1:7" ht="15" customHeight="1" outlineLevel="3" x14ac:dyDescent="0.25">
      <c r="A418" s="69" t="s">
        <v>9</v>
      </c>
      <c r="B418" s="11">
        <v>57286893</v>
      </c>
      <c r="C418" s="11">
        <v>38191268</v>
      </c>
      <c r="D418" s="11">
        <v>38191268</v>
      </c>
      <c r="E418" s="11">
        <v>33021065.559999999</v>
      </c>
      <c r="F418" s="14">
        <f t="shared" si="35"/>
        <v>1</v>
      </c>
      <c r="G418" s="14">
        <f t="shared" si="36"/>
        <v>0.66666677140266628</v>
      </c>
    </row>
    <row r="419" spans="1:7" ht="15" customHeight="1" outlineLevel="3" x14ac:dyDescent="0.25">
      <c r="A419" s="69" t="s">
        <v>10</v>
      </c>
      <c r="B419" s="11">
        <v>12603118</v>
      </c>
      <c r="C419" s="11">
        <v>8402080</v>
      </c>
      <c r="D419" s="11">
        <v>8402080</v>
      </c>
      <c r="E419" s="11">
        <v>7264634.4199999999</v>
      </c>
      <c r="F419" s="14">
        <f t="shared" si="35"/>
        <v>1</v>
      </c>
      <c r="G419" s="14">
        <f t="shared" si="36"/>
        <v>0.66666677246059269</v>
      </c>
    </row>
    <row r="420" spans="1:7" s="17" customFormat="1" ht="18.75" customHeight="1" outlineLevel="2" x14ac:dyDescent="0.2">
      <c r="A420" s="83" t="s">
        <v>36</v>
      </c>
      <c r="B420" s="9">
        <v>4536084</v>
      </c>
      <c r="C420" s="9">
        <v>3024056</v>
      </c>
      <c r="D420" s="9">
        <v>3024056</v>
      </c>
      <c r="E420" s="9">
        <v>2513568.42</v>
      </c>
      <c r="F420" s="16">
        <f t="shared" si="35"/>
        <v>1</v>
      </c>
      <c r="G420" s="16">
        <f t="shared" si="36"/>
        <v>0.66666666666666663</v>
      </c>
    </row>
    <row r="421" spans="1:7" ht="12.75" customHeight="1" outlineLevel="3" x14ac:dyDescent="0.25">
      <c r="A421" s="69" t="s">
        <v>9</v>
      </c>
      <c r="B421" s="11">
        <v>3718104</v>
      </c>
      <c r="C421" s="11">
        <v>2478736</v>
      </c>
      <c r="D421" s="11">
        <v>2478736</v>
      </c>
      <c r="E421" s="11">
        <v>2060301.97</v>
      </c>
      <c r="F421" s="14">
        <f t="shared" si="35"/>
        <v>1</v>
      </c>
      <c r="G421" s="14">
        <f t="shared" si="36"/>
        <v>0.66666666666666663</v>
      </c>
    </row>
    <row r="422" spans="1:7" ht="12.75" customHeight="1" outlineLevel="3" x14ac:dyDescent="0.25">
      <c r="A422" s="69" t="s">
        <v>10</v>
      </c>
      <c r="B422" s="11">
        <v>817980</v>
      </c>
      <c r="C422" s="11">
        <v>545320</v>
      </c>
      <c r="D422" s="11">
        <v>545320</v>
      </c>
      <c r="E422" s="11">
        <v>453266.45</v>
      </c>
      <c r="F422" s="14">
        <f t="shared" si="35"/>
        <v>1</v>
      </c>
      <c r="G422" s="14">
        <f t="shared" si="36"/>
        <v>0.66666666666666663</v>
      </c>
    </row>
    <row r="423" spans="1:7" s="18" customFormat="1" ht="42" customHeight="1" outlineLevel="1" x14ac:dyDescent="0.2">
      <c r="A423" s="70" t="s">
        <v>93</v>
      </c>
      <c r="B423" s="22">
        <v>46361299</v>
      </c>
      <c r="C423" s="22">
        <v>37089060</v>
      </c>
      <c r="D423" s="22">
        <v>37089060</v>
      </c>
      <c r="E423" s="22">
        <v>11037733.710000001</v>
      </c>
      <c r="F423" s="23">
        <f t="shared" si="35"/>
        <v>1</v>
      </c>
      <c r="G423" s="23">
        <f t="shared" si="36"/>
        <v>0.80000044865006914</v>
      </c>
    </row>
    <row r="424" spans="1:7" s="17" customFormat="1" ht="26.25" customHeight="1" outlineLevel="2" x14ac:dyDescent="0.2">
      <c r="A424" s="83" t="s">
        <v>28</v>
      </c>
      <c r="B424" s="9">
        <v>1579050</v>
      </c>
      <c r="C424" s="9">
        <v>1263200</v>
      </c>
      <c r="D424" s="9">
        <v>1263200</v>
      </c>
      <c r="E424" s="9">
        <v>467257.37</v>
      </c>
      <c r="F424" s="16">
        <f t="shared" si="35"/>
        <v>1</v>
      </c>
      <c r="G424" s="16">
        <f t="shared" si="36"/>
        <v>0.79997466831322628</v>
      </c>
    </row>
    <row r="425" spans="1:7" ht="15" customHeight="1" outlineLevel="3" x14ac:dyDescent="0.25">
      <c r="A425" s="69" t="s">
        <v>34</v>
      </c>
      <c r="B425" s="11">
        <v>1579050</v>
      </c>
      <c r="C425" s="11">
        <v>1263200</v>
      </c>
      <c r="D425" s="11">
        <v>1263200</v>
      </c>
      <c r="E425" s="11">
        <v>467257.37</v>
      </c>
      <c r="F425" s="14">
        <f t="shared" si="35"/>
        <v>1</v>
      </c>
      <c r="G425" s="14">
        <f t="shared" si="36"/>
        <v>0.79997466831322628</v>
      </c>
    </row>
    <row r="426" spans="1:7" s="17" customFormat="1" ht="15.75" customHeight="1" outlineLevel="2" x14ac:dyDescent="0.2">
      <c r="A426" s="83" t="s">
        <v>33</v>
      </c>
      <c r="B426" s="9">
        <v>2314200</v>
      </c>
      <c r="C426" s="9">
        <v>1851400</v>
      </c>
      <c r="D426" s="9">
        <v>1851400</v>
      </c>
      <c r="E426" s="9">
        <v>364700</v>
      </c>
      <c r="F426" s="16">
        <f t="shared" si="35"/>
        <v>1</v>
      </c>
      <c r="G426" s="16">
        <f t="shared" si="36"/>
        <v>0.80001728459078736</v>
      </c>
    </row>
    <row r="427" spans="1:7" ht="14.25" customHeight="1" outlineLevel="3" x14ac:dyDescent="0.25">
      <c r="A427" s="69" t="s">
        <v>34</v>
      </c>
      <c r="B427" s="11">
        <v>2314200</v>
      </c>
      <c r="C427" s="11">
        <v>1851400</v>
      </c>
      <c r="D427" s="11">
        <v>1851400</v>
      </c>
      <c r="E427" s="11">
        <v>364700</v>
      </c>
      <c r="F427" s="14">
        <f t="shared" si="35"/>
        <v>1</v>
      </c>
      <c r="G427" s="14">
        <f t="shared" si="36"/>
        <v>0.80001728459078736</v>
      </c>
    </row>
    <row r="428" spans="1:7" s="17" customFormat="1" ht="16.5" customHeight="1" outlineLevel="2" x14ac:dyDescent="0.2">
      <c r="A428" s="83" t="s">
        <v>30</v>
      </c>
      <c r="B428" s="9">
        <v>2475150</v>
      </c>
      <c r="C428" s="9">
        <v>1980200</v>
      </c>
      <c r="D428" s="9">
        <v>1980200</v>
      </c>
      <c r="E428" s="9">
        <v>1385691.27</v>
      </c>
      <c r="F428" s="16">
        <f t="shared" si="35"/>
        <v>1</v>
      </c>
      <c r="G428" s="16">
        <f t="shared" si="36"/>
        <v>0.80003232127345814</v>
      </c>
    </row>
    <row r="429" spans="1:7" ht="14.25" customHeight="1" outlineLevel="3" x14ac:dyDescent="0.25">
      <c r="A429" s="69" t="s">
        <v>34</v>
      </c>
      <c r="B429" s="11">
        <v>2475150</v>
      </c>
      <c r="C429" s="11">
        <v>1980200</v>
      </c>
      <c r="D429" s="11">
        <v>1980200</v>
      </c>
      <c r="E429" s="11">
        <v>1385691.27</v>
      </c>
      <c r="F429" s="14">
        <f t="shared" ref="F429:F435" si="37">D429/C429</f>
        <v>1</v>
      </c>
      <c r="G429" s="14">
        <f t="shared" si="36"/>
        <v>0.80003232127345814</v>
      </c>
    </row>
    <row r="430" spans="1:7" s="17" customFormat="1" ht="27" customHeight="1" outlineLevel="2" x14ac:dyDescent="0.2">
      <c r="A430" s="83" t="s">
        <v>35</v>
      </c>
      <c r="B430" s="9">
        <v>1653000</v>
      </c>
      <c r="C430" s="9">
        <v>1322400</v>
      </c>
      <c r="D430" s="9">
        <v>1322400</v>
      </c>
      <c r="E430" s="9">
        <v>765268.21</v>
      </c>
      <c r="F430" s="16">
        <f t="shared" si="37"/>
        <v>1</v>
      </c>
      <c r="G430" s="16">
        <f t="shared" si="36"/>
        <v>0.8</v>
      </c>
    </row>
    <row r="431" spans="1:7" ht="15" customHeight="1" outlineLevel="3" x14ac:dyDescent="0.25">
      <c r="A431" s="69" t="s">
        <v>34</v>
      </c>
      <c r="B431" s="11">
        <v>1653000</v>
      </c>
      <c r="C431" s="11">
        <v>1322400</v>
      </c>
      <c r="D431" s="11">
        <v>1322400</v>
      </c>
      <c r="E431" s="11">
        <v>765268.21</v>
      </c>
      <c r="F431" s="14">
        <f t="shared" si="37"/>
        <v>1</v>
      </c>
      <c r="G431" s="14">
        <f t="shared" si="36"/>
        <v>0.8</v>
      </c>
    </row>
    <row r="432" spans="1:7" s="17" customFormat="1" ht="27" customHeight="1" outlineLevel="2" x14ac:dyDescent="0.2">
      <c r="A432" s="83" t="s">
        <v>23</v>
      </c>
      <c r="B432" s="9">
        <v>37304599</v>
      </c>
      <c r="C432" s="9">
        <v>29843660</v>
      </c>
      <c r="D432" s="9">
        <v>29843660</v>
      </c>
      <c r="E432" s="9">
        <v>7583874.7400000002</v>
      </c>
      <c r="F432" s="16">
        <f t="shared" si="37"/>
        <v>1</v>
      </c>
      <c r="G432" s="16">
        <f t="shared" si="36"/>
        <v>0.79999948531815068</v>
      </c>
    </row>
    <row r="433" spans="1:7" ht="15.75" customHeight="1" outlineLevel="3" x14ac:dyDescent="0.25">
      <c r="A433" s="69" t="s">
        <v>34</v>
      </c>
      <c r="B433" s="11">
        <v>37304599</v>
      </c>
      <c r="C433" s="11">
        <v>29843660</v>
      </c>
      <c r="D433" s="11">
        <v>29843660</v>
      </c>
      <c r="E433" s="11">
        <v>7583874.7400000002</v>
      </c>
      <c r="F433" s="14">
        <f t="shared" si="37"/>
        <v>1</v>
      </c>
      <c r="G433" s="14">
        <f t="shared" si="36"/>
        <v>0.79999948531815068</v>
      </c>
    </row>
    <row r="434" spans="1:7" s="17" customFormat="1" ht="18.75" customHeight="1" outlineLevel="2" x14ac:dyDescent="0.2">
      <c r="A434" s="83" t="s">
        <v>36</v>
      </c>
      <c r="B434" s="9">
        <v>1035300</v>
      </c>
      <c r="C434" s="9">
        <v>828200</v>
      </c>
      <c r="D434" s="9">
        <v>828200</v>
      </c>
      <c r="E434" s="9">
        <v>470942.12</v>
      </c>
      <c r="F434" s="16">
        <f t="shared" si="37"/>
        <v>1</v>
      </c>
      <c r="G434" s="16">
        <f t="shared" si="36"/>
        <v>0.79996136385588723</v>
      </c>
    </row>
    <row r="435" spans="1:7" ht="18.75" customHeight="1" outlineLevel="3" x14ac:dyDescent="0.25">
      <c r="A435" s="69" t="s">
        <v>34</v>
      </c>
      <c r="B435" s="11">
        <v>1035300</v>
      </c>
      <c r="C435" s="11">
        <v>828200</v>
      </c>
      <c r="D435" s="11">
        <v>828200</v>
      </c>
      <c r="E435" s="11">
        <v>470942.12</v>
      </c>
      <c r="F435" s="14">
        <f t="shared" si="37"/>
        <v>1</v>
      </c>
      <c r="G435" s="14">
        <f t="shared" si="36"/>
        <v>0.79996136385588723</v>
      </c>
    </row>
    <row r="436" spans="1:7" s="27" customFormat="1" ht="21" customHeight="1" outlineLevel="3" x14ac:dyDescent="0.2">
      <c r="A436" s="24" t="s">
        <v>43</v>
      </c>
      <c r="B436" s="25">
        <f>B437+B451+B455+B466+B477+B480+B490</f>
        <v>102753647</v>
      </c>
      <c r="C436" s="25">
        <f t="shared" ref="C436:E436" si="38">C437+C451+C455+C466+C477+C480+C490</f>
        <v>34893210</v>
      </c>
      <c r="D436" s="25">
        <f t="shared" si="38"/>
        <v>30994329.18</v>
      </c>
      <c r="E436" s="25">
        <f t="shared" si="38"/>
        <v>30950364.810000002</v>
      </c>
      <c r="F436" s="26">
        <f t="shared" ref="F436" si="39">D436/C436</f>
        <v>0.88826247800073421</v>
      </c>
      <c r="G436" s="26">
        <f t="shared" ref="G436" si="40">D436/B436</f>
        <v>0.30163726626656862</v>
      </c>
    </row>
    <row r="437" spans="1:7" s="18" customFormat="1" ht="27" customHeight="1" outlineLevel="1" x14ac:dyDescent="0.2">
      <c r="A437" s="70" t="s">
        <v>79</v>
      </c>
      <c r="B437" s="22">
        <v>48683076</v>
      </c>
      <c r="C437" s="22">
        <v>15826977</v>
      </c>
      <c r="D437" s="22">
        <v>14581638.939999999</v>
      </c>
      <c r="E437" s="22">
        <v>14568798.939999999</v>
      </c>
      <c r="F437" s="23">
        <f t="shared" ref="F437:F449" si="41">D437/C437</f>
        <v>0.92131548178783607</v>
      </c>
      <c r="G437" s="23">
        <f t="shared" ref="G437:G468" si="42">D437/B437</f>
        <v>0.29952172578413078</v>
      </c>
    </row>
    <row r="438" spans="1:7" s="17" customFormat="1" ht="27" customHeight="1" outlineLevel="2" x14ac:dyDescent="0.2">
      <c r="A438" s="83" t="s">
        <v>44</v>
      </c>
      <c r="B438" s="9">
        <v>48683076</v>
      </c>
      <c r="C438" s="9">
        <v>15826977</v>
      </c>
      <c r="D438" s="9">
        <v>14581638.939999999</v>
      </c>
      <c r="E438" s="9">
        <v>14568798.939999999</v>
      </c>
      <c r="F438" s="16">
        <f t="shared" si="41"/>
        <v>0.92131548178783607</v>
      </c>
      <c r="G438" s="16">
        <f t="shared" si="42"/>
        <v>0.29952172578413078</v>
      </c>
    </row>
    <row r="439" spans="1:7" ht="12.75" customHeight="1" outlineLevel="3" x14ac:dyDescent="0.25">
      <c r="A439" s="69" t="s">
        <v>9</v>
      </c>
      <c r="B439" s="11">
        <v>34112448</v>
      </c>
      <c r="C439" s="11">
        <v>10800000</v>
      </c>
      <c r="D439" s="11">
        <v>10788200.529999999</v>
      </c>
      <c r="E439" s="11">
        <v>10788200.529999999</v>
      </c>
      <c r="F439" s="14">
        <f t="shared" si="41"/>
        <v>0.99890745648148138</v>
      </c>
      <c r="G439" s="14">
        <f t="shared" si="42"/>
        <v>0.31625407036164627</v>
      </c>
    </row>
    <row r="440" spans="1:7" ht="12.75" customHeight="1" outlineLevel="3" x14ac:dyDescent="0.25">
      <c r="A440" s="69" t="s">
        <v>10</v>
      </c>
      <c r="B440" s="11">
        <v>7504739</v>
      </c>
      <c r="C440" s="11">
        <v>2376000</v>
      </c>
      <c r="D440" s="11">
        <v>2296637.09</v>
      </c>
      <c r="E440" s="11">
        <v>2296637.09</v>
      </c>
      <c r="F440" s="14">
        <f t="shared" si="41"/>
        <v>0.9665981018518518</v>
      </c>
      <c r="G440" s="14">
        <f t="shared" si="42"/>
        <v>0.3060249117257775</v>
      </c>
    </row>
    <row r="441" spans="1:7" ht="12.75" customHeight="1" outlineLevel="3" x14ac:dyDescent="0.25">
      <c r="A441" s="69" t="s">
        <v>11</v>
      </c>
      <c r="B441" s="11">
        <v>1524482</v>
      </c>
      <c r="C441" s="11">
        <v>420000</v>
      </c>
      <c r="D441" s="11">
        <v>341601.06</v>
      </c>
      <c r="E441" s="11">
        <v>341601.06</v>
      </c>
      <c r="F441" s="14">
        <f t="shared" si="41"/>
        <v>0.81333585714285717</v>
      </c>
      <c r="G441" s="14">
        <f t="shared" si="42"/>
        <v>0.22407680772878918</v>
      </c>
    </row>
    <row r="442" spans="1:7" ht="12.75" customHeight="1" outlineLevel="3" x14ac:dyDescent="0.25">
      <c r="A442" s="69" t="s">
        <v>29</v>
      </c>
      <c r="B442" s="11">
        <v>200000</v>
      </c>
      <c r="C442" s="11">
        <v>50000</v>
      </c>
      <c r="D442" s="11">
        <v>49991.95</v>
      </c>
      <c r="E442" s="11">
        <v>49991.95</v>
      </c>
      <c r="F442" s="14">
        <f t="shared" si="41"/>
        <v>0.99983899999999992</v>
      </c>
      <c r="G442" s="14">
        <f t="shared" si="42"/>
        <v>0.24995974999999998</v>
      </c>
    </row>
    <row r="443" spans="1:7" ht="12.75" customHeight="1" outlineLevel="3" x14ac:dyDescent="0.25">
      <c r="A443" s="69" t="s">
        <v>34</v>
      </c>
      <c r="B443" s="11">
        <v>1464502</v>
      </c>
      <c r="C443" s="11">
        <v>514502</v>
      </c>
      <c r="D443" s="11">
        <v>350482</v>
      </c>
      <c r="E443" s="11">
        <v>350482</v>
      </c>
      <c r="F443" s="14">
        <f t="shared" si="41"/>
        <v>0.68120629268690891</v>
      </c>
      <c r="G443" s="14">
        <f t="shared" si="42"/>
        <v>0.23931821192459962</v>
      </c>
    </row>
    <row r="444" spans="1:7" ht="12.75" customHeight="1" outlineLevel="3" x14ac:dyDescent="0.25">
      <c r="A444" s="69" t="s">
        <v>12</v>
      </c>
      <c r="B444" s="11">
        <v>951000</v>
      </c>
      <c r="C444" s="11">
        <v>421000</v>
      </c>
      <c r="D444" s="11">
        <v>150905.60000000001</v>
      </c>
      <c r="E444" s="11">
        <v>138065.60000000001</v>
      </c>
      <c r="F444" s="14">
        <f t="shared" si="41"/>
        <v>0.3584456057007126</v>
      </c>
      <c r="G444" s="14">
        <f t="shared" si="42"/>
        <v>0.15868096740273396</v>
      </c>
    </row>
    <row r="445" spans="1:7" ht="12.75" customHeight="1" outlineLevel="3" x14ac:dyDescent="0.25">
      <c r="A445" s="69" t="s">
        <v>13</v>
      </c>
      <c r="B445" s="11">
        <v>1731472</v>
      </c>
      <c r="C445" s="11">
        <v>973900</v>
      </c>
      <c r="D445" s="11">
        <v>449331.38</v>
      </c>
      <c r="E445" s="11">
        <v>449331.38</v>
      </c>
      <c r="F445" s="14">
        <f t="shared" si="41"/>
        <v>0.46137322106992507</v>
      </c>
      <c r="G445" s="14">
        <f t="shared" si="42"/>
        <v>0.25950831431290833</v>
      </c>
    </row>
    <row r="446" spans="1:7" ht="12.75" customHeight="1" outlineLevel="3" x14ac:dyDescent="0.25">
      <c r="A446" s="69" t="s">
        <v>14</v>
      </c>
      <c r="B446" s="11">
        <v>45812</v>
      </c>
      <c r="C446" s="11">
        <v>16770</v>
      </c>
      <c r="D446" s="11">
        <v>7852.76</v>
      </c>
      <c r="E446" s="11">
        <v>7852.76</v>
      </c>
      <c r="F446" s="14">
        <f t="shared" si="41"/>
        <v>0.46826237328562909</v>
      </c>
      <c r="G446" s="14">
        <f t="shared" si="42"/>
        <v>0.17141273028900725</v>
      </c>
    </row>
    <row r="447" spans="1:7" ht="12.75" customHeight="1" outlineLevel="3" x14ac:dyDescent="0.25">
      <c r="A447" s="69" t="s">
        <v>15</v>
      </c>
      <c r="B447" s="11">
        <v>688000</v>
      </c>
      <c r="C447" s="11">
        <v>237600</v>
      </c>
      <c r="D447" s="11">
        <v>137615.24</v>
      </c>
      <c r="E447" s="11">
        <v>137615.24</v>
      </c>
      <c r="F447" s="14">
        <f t="shared" si="41"/>
        <v>0.5791887205387205</v>
      </c>
      <c r="G447" s="14">
        <f t="shared" si="42"/>
        <v>0.20002215116279068</v>
      </c>
    </row>
    <row r="448" spans="1:7" ht="12.75" customHeight="1" outlineLevel="3" x14ac:dyDescent="0.25">
      <c r="A448" s="69" t="s">
        <v>26</v>
      </c>
      <c r="B448" s="11">
        <v>30621</v>
      </c>
      <c r="C448" s="11">
        <v>10205</v>
      </c>
      <c r="D448" s="11">
        <v>9021.33</v>
      </c>
      <c r="E448" s="11">
        <v>9021.33</v>
      </c>
      <c r="F448" s="14">
        <f t="shared" si="41"/>
        <v>0.88401077902988734</v>
      </c>
      <c r="G448" s="14">
        <f t="shared" si="42"/>
        <v>0.29461252081904576</v>
      </c>
    </row>
    <row r="449" spans="1:7" ht="28.5" customHeight="1" outlineLevel="3" x14ac:dyDescent="0.25">
      <c r="A449" s="69" t="s">
        <v>16</v>
      </c>
      <c r="B449" s="11">
        <v>30000</v>
      </c>
      <c r="C449" s="11">
        <v>7000</v>
      </c>
      <c r="D449" s="12"/>
      <c r="E449" s="12"/>
      <c r="F449" s="14">
        <f t="shared" si="41"/>
        <v>0</v>
      </c>
      <c r="G449" s="14">
        <f t="shared" si="42"/>
        <v>0</v>
      </c>
    </row>
    <row r="450" spans="1:7" ht="29.25" customHeight="1" outlineLevel="3" x14ac:dyDescent="0.25">
      <c r="A450" s="69" t="s">
        <v>56</v>
      </c>
      <c r="B450" s="11">
        <v>400000</v>
      </c>
      <c r="C450" s="12"/>
      <c r="D450" s="12"/>
      <c r="E450" s="12"/>
      <c r="F450" s="14">
        <v>0</v>
      </c>
      <c r="G450" s="14">
        <f t="shared" si="42"/>
        <v>0</v>
      </c>
    </row>
    <row r="451" spans="1:7" s="18" customFormat="1" ht="39" customHeight="1" outlineLevel="1" x14ac:dyDescent="0.2">
      <c r="A451" s="70" t="s">
        <v>80</v>
      </c>
      <c r="B451" s="22">
        <v>681600</v>
      </c>
      <c r="C451" s="22">
        <v>681600</v>
      </c>
      <c r="D451" s="22">
        <v>19200</v>
      </c>
      <c r="E451" s="22">
        <v>19200</v>
      </c>
      <c r="F451" s="23">
        <f t="shared" ref="F451:F492" si="43">D451/C451</f>
        <v>2.8169014084507043E-2</v>
      </c>
      <c r="G451" s="23">
        <f t="shared" si="42"/>
        <v>2.8169014084507043E-2</v>
      </c>
    </row>
    <row r="452" spans="1:7" s="17" customFormat="1" ht="27" customHeight="1" outlineLevel="2" x14ac:dyDescent="0.2">
      <c r="A452" s="83" t="s">
        <v>24</v>
      </c>
      <c r="B452" s="9">
        <v>681600</v>
      </c>
      <c r="C452" s="9">
        <v>681600</v>
      </c>
      <c r="D452" s="9">
        <v>19200</v>
      </c>
      <c r="E452" s="9">
        <v>19200</v>
      </c>
      <c r="F452" s="16">
        <f t="shared" si="43"/>
        <v>2.8169014084507043E-2</v>
      </c>
      <c r="G452" s="16">
        <f t="shared" si="42"/>
        <v>2.8169014084507043E-2</v>
      </c>
    </row>
    <row r="453" spans="1:7" ht="15" customHeight="1" outlineLevel="3" x14ac:dyDescent="0.25">
      <c r="A453" s="69" t="s">
        <v>11</v>
      </c>
      <c r="B453" s="11">
        <v>611600</v>
      </c>
      <c r="C453" s="11">
        <v>611600</v>
      </c>
      <c r="D453" s="11">
        <v>19200</v>
      </c>
      <c r="E453" s="11">
        <v>19200</v>
      </c>
      <c r="F453" s="14">
        <f t="shared" si="43"/>
        <v>3.1393067364290386E-2</v>
      </c>
      <c r="G453" s="14">
        <f t="shared" si="42"/>
        <v>3.1393067364290386E-2</v>
      </c>
    </row>
    <row r="454" spans="1:7" ht="15" customHeight="1" outlineLevel="3" x14ac:dyDescent="0.25">
      <c r="A454" s="69" t="s">
        <v>12</v>
      </c>
      <c r="B454" s="11">
        <v>70000</v>
      </c>
      <c r="C454" s="11">
        <v>70000</v>
      </c>
      <c r="D454" s="12"/>
      <c r="E454" s="12"/>
      <c r="F454" s="14">
        <f t="shared" si="43"/>
        <v>0</v>
      </c>
      <c r="G454" s="14">
        <f t="shared" si="42"/>
        <v>0</v>
      </c>
    </row>
    <row r="455" spans="1:7" ht="63.75" customHeight="1" outlineLevel="1" x14ac:dyDescent="0.25">
      <c r="A455" s="70" t="s">
        <v>81</v>
      </c>
      <c r="B455" s="22">
        <v>15157905</v>
      </c>
      <c r="C455" s="22">
        <f>C456</f>
        <v>4847678</v>
      </c>
      <c r="D455" s="22">
        <v>4631677.7699999996</v>
      </c>
      <c r="E455" s="22">
        <v>4631677.7699999996</v>
      </c>
      <c r="F455" s="23">
        <f t="shared" si="43"/>
        <v>0.95544253764379561</v>
      </c>
      <c r="G455" s="23">
        <f t="shared" si="42"/>
        <v>0.30556186821331838</v>
      </c>
    </row>
    <row r="456" spans="1:7" s="17" customFormat="1" ht="17.25" customHeight="1" outlineLevel="2" x14ac:dyDescent="0.2">
      <c r="A456" s="83" t="s">
        <v>45</v>
      </c>
      <c r="B456" s="9">
        <v>15157905</v>
      </c>
      <c r="C456" s="9">
        <f>SUM(C457:C465)</f>
        <v>4847678</v>
      </c>
      <c r="D456" s="9">
        <v>4631677.7699999996</v>
      </c>
      <c r="E456" s="9">
        <v>4631677.7699999996</v>
      </c>
      <c r="F456" s="16">
        <f t="shared" si="43"/>
        <v>0.95544253764379561</v>
      </c>
      <c r="G456" s="16">
        <f t="shared" si="42"/>
        <v>0.30556186821331838</v>
      </c>
    </row>
    <row r="457" spans="1:7" ht="12.75" customHeight="1" outlineLevel="3" x14ac:dyDescent="0.25">
      <c r="A457" s="69" t="s">
        <v>9</v>
      </c>
      <c r="B457" s="11">
        <v>11758100</v>
      </c>
      <c r="C457" s="11">
        <v>3650000</v>
      </c>
      <c r="D457" s="11">
        <v>3649912.59</v>
      </c>
      <c r="E457" s="11">
        <v>3649912.59</v>
      </c>
      <c r="F457" s="14">
        <f t="shared" si="43"/>
        <v>0.99997605205479445</v>
      </c>
      <c r="G457" s="14">
        <f t="shared" si="42"/>
        <v>0.31041686922206818</v>
      </c>
    </row>
    <row r="458" spans="1:7" ht="12.75" customHeight="1" outlineLevel="3" x14ac:dyDescent="0.25">
      <c r="A458" s="69" t="s">
        <v>10</v>
      </c>
      <c r="B458" s="11">
        <v>2586782</v>
      </c>
      <c r="C458" s="11">
        <v>803000</v>
      </c>
      <c r="D458" s="11">
        <v>752231.84</v>
      </c>
      <c r="E458" s="11">
        <v>752231.84</v>
      </c>
      <c r="F458" s="14">
        <f t="shared" si="43"/>
        <v>0.93677688667496883</v>
      </c>
      <c r="G458" s="14">
        <f t="shared" si="42"/>
        <v>0.29079831234328984</v>
      </c>
    </row>
    <row r="459" spans="1:7" ht="12.75" customHeight="1" outlineLevel="3" x14ac:dyDescent="0.25">
      <c r="A459" s="69" t="s">
        <v>11</v>
      </c>
      <c r="B459" s="11">
        <v>115000</v>
      </c>
      <c r="C459" s="11">
        <v>69540</v>
      </c>
      <c r="D459" s="11">
        <v>12734.62</v>
      </c>
      <c r="E459" s="11">
        <v>12734.62</v>
      </c>
      <c r="F459" s="14">
        <f t="shared" si="43"/>
        <v>0.18312654587287894</v>
      </c>
      <c r="G459" s="14">
        <f t="shared" si="42"/>
        <v>0.11073582608695653</v>
      </c>
    </row>
    <row r="460" spans="1:7" ht="12.75" customHeight="1" outlineLevel="3" x14ac:dyDescent="0.25">
      <c r="A460" s="69" t="s">
        <v>12</v>
      </c>
      <c r="B460" s="11">
        <v>265850</v>
      </c>
      <c r="C460" s="11">
        <v>123564</v>
      </c>
      <c r="D460" s="11">
        <v>65373.64</v>
      </c>
      <c r="E460" s="11">
        <v>65373.64</v>
      </c>
      <c r="F460" s="14">
        <f t="shared" si="43"/>
        <v>0.52906704218057043</v>
      </c>
      <c r="G460" s="14">
        <f t="shared" si="42"/>
        <v>0.24590423170961068</v>
      </c>
    </row>
    <row r="461" spans="1:7" ht="12.75" customHeight="1" outlineLevel="3" x14ac:dyDescent="0.25">
      <c r="A461" s="69" t="s">
        <v>21</v>
      </c>
      <c r="B461" s="11">
        <v>19140</v>
      </c>
      <c r="C461" s="11">
        <v>5220</v>
      </c>
      <c r="D461" s="11">
        <v>5220</v>
      </c>
      <c r="E461" s="11">
        <v>5220</v>
      </c>
      <c r="F461" s="14">
        <f t="shared" si="43"/>
        <v>1</v>
      </c>
      <c r="G461" s="14">
        <f t="shared" si="42"/>
        <v>0.27272727272727271</v>
      </c>
    </row>
    <row r="462" spans="1:7" ht="12.75" customHeight="1" outlineLevel="3" x14ac:dyDescent="0.25">
      <c r="A462" s="69" t="s">
        <v>13</v>
      </c>
      <c r="B462" s="11">
        <v>186151</v>
      </c>
      <c r="C462" s="11">
        <v>118750</v>
      </c>
      <c r="D462" s="11">
        <v>94403.13</v>
      </c>
      <c r="E462" s="11">
        <v>94403.13</v>
      </c>
      <c r="F462" s="14">
        <f t="shared" si="43"/>
        <v>0.79497372631578955</v>
      </c>
      <c r="G462" s="14">
        <f t="shared" si="42"/>
        <v>0.50713200573727779</v>
      </c>
    </row>
    <row r="463" spans="1:7" ht="12.75" customHeight="1" outlineLevel="3" x14ac:dyDescent="0.25">
      <c r="A463" s="69" t="s">
        <v>14</v>
      </c>
      <c r="B463" s="11">
        <v>16135</v>
      </c>
      <c r="C463" s="11">
        <v>5380</v>
      </c>
      <c r="D463" s="11">
        <v>4432.5600000000004</v>
      </c>
      <c r="E463" s="11">
        <v>4432.5600000000004</v>
      </c>
      <c r="F463" s="14">
        <f t="shared" si="43"/>
        <v>0.82389591078066926</v>
      </c>
      <c r="G463" s="14">
        <f t="shared" si="42"/>
        <v>0.27471707468236756</v>
      </c>
    </row>
    <row r="464" spans="1:7" ht="12.75" customHeight="1" outlineLevel="3" x14ac:dyDescent="0.25">
      <c r="A464" s="69" t="s">
        <v>15</v>
      </c>
      <c r="B464" s="11">
        <v>200000</v>
      </c>
      <c r="C464" s="11">
        <v>68640</v>
      </c>
      <c r="D464" s="11">
        <v>43787.19</v>
      </c>
      <c r="E464" s="11">
        <v>43787.19</v>
      </c>
      <c r="F464" s="14">
        <f t="shared" si="43"/>
        <v>0.63792526223776225</v>
      </c>
      <c r="G464" s="14">
        <f t="shared" si="42"/>
        <v>0.21893595000000002</v>
      </c>
    </row>
    <row r="465" spans="1:7" ht="12.75" customHeight="1" outlineLevel="3" x14ac:dyDescent="0.25">
      <c r="A465" s="69" t="s">
        <v>26</v>
      </c>
      <c r="B465" s="11">
        <v>10747</v>
      </c>
      <c r="C465" s="11">
        <v>3584</v>
      </c>
      <c r="D465" s="11">
        <v>3582.2</v>
      </c>
      <c r="E465" s="11">
        <v>3582.2</v>
      </c>
      <c r="F465" s="14">
        <f t="shared" si="43"/>
        <v>0.99949776785714284</v>
      </c>
      <c r="G465" s="14">
        <f t="shared" si="42"/>
        <v>0.33332092677026143</v>
      </c>
    </row>
    <row r="466" spans="1:7" ht="41.25" customHeight="1" outlineLevel="1" x14ac:dyDescent="0.25">
      <c r="A466" s="70" t="s">
        <v>82</v>
      </c>
      <c r="B466" s="22">
        <v>25376529</v>
      </c>
      <c r="C466" s="22">
        <v>9258356</v>
      </c>
      <c r="D466" s="22">
        <v>7748600.7599999998</v>
      </c>
      <c r="E466" s="22">
        <v>7717476.3899999997</v>
      </c>
      <c r="F466" s="23">
        <f t="shared" si="43"/>
        <v>0.83693052632670417</v>
      </c>
      <c r="G466" s="23">
        <f t="shared" si="42"/>
        <v>0.30534517782160042</v>
      </c>
    </row>
    <row r="467" spans="1:7" s="17" customFormat="1" ht="24" customHeight="1" outlineLevel="2" x14ac:dyDescent="0.2">
      <c r="A467" s="83" t="s">
        <v>46</v>
      </c>
      <c r="B467" s="9">
        <v>25376529</v>
      </c>
      <c r="C467" s="9">
        <v>9258356</v>
      </c>
      <c r="D467" s="9">
        <v>7748600.7599999998</v>
      </c>
      <c r="E467" s="9">
        <v>7717476.3899999997</v>
      </c>
      <c r="F467" s="16">
        <f t="shared" si="43"/>
        <v>0.83693052632670417</v>
      </c>
      <c r="G467" s="16">
        <f t="shared" si="42"/>
        <v>0.30534517782160042</v>
      </c>
    </row>
    <row r="468" spans="1:7" ht="12.75" customHeight="1" outlineLevel="3" x14ac:dyDescent="0.25">
      <c r="A468" s="69" t="s">
        <v>9</v>
      </c>
      <c r="B468" s="11">
        <v>16920982</v>
      </c>
      <c r="C468" s="11">
        <v>5620000</v>
      </c>
      <c r="D468" s="11">
        <v>5613033.8499999996</v>
      </c>
      <c r="E468" s="11">
        <v>5613033.8499999996</v>
      </c>
      <c r="F468" s="14">
        <f t="shared" si="43"/>
        <v>0.99876047153024905</v>
      </c>
      <c r="G468" s="14">
        <f t="shared" si="42"/>
        <v>0.33172033691661629</v>
      </c>
    </row>
    <row r="469" spans="1:7" ht="12.75" customHeight="1" outlineLevel="3" x14ac:dyDescent="0.25">
      <c r="A469" s="69" t="s">
        <v>10</v>
      </c>
      <c r="B469" s="11">
        <v>3722616</v>
      </c>
      <c r="C469" s="11">
        <v>1236400</v>
      </c>
      <c r="D469" s="11">
        <v>1222016.21</v>
      </c>
      <c r="E469" s="11">
        <v>1222016.21</v>
      </c>
      <c r="F469" s="14">
        <f t="shared" si="43"/>
        <v>0.9883663943707538</v>
      </c>
      <c r="G469" s="14">
        <f t="shared" ref="G469:G492" si="44">D469/B469</f>
        <v>0.32826813455913795</v>
      </c>
    </row>
    <row r="470" spans="1:7" ht="12.75" customHeight="1" outlineLevel="3" x14ac:dyDescent="0.25">
      <c r="A470" s="69" t="s">
        <v>11</v>
      </c>
      <c r="B470" s="11">
        <v>300000</v>
      </c>
      <c r="C470" s="11">
        <v>140000</v>
      </c>
      <c r="D470" s="11">
        <v>88259.77</v>
      </c>
      <c r="E470" s="11">
        <v>66034.27</v>
      </c>
      <c r="F470" s="14">
        <f t="shared" si="43"/>
        <v>0.63042692857142857</v>
      </c>
      <c r="G470" s="14">
        <f t="shared" si="44"/>
        <v>0.29419923333333337</v>
      </c>
    </row>
    <row r="471" spans="1:7" ht="12.75" customHeight="1" outlineLevel="3" x14ac:dyDescent="0.25">
      <c r="A471" s="69" t="s">
        <v>12</v>
      </c>
      <c r="B471" s="11">
        <v>1092213</v>
      </c>
      <c r="C471" s="11">
        <v>559900</v>
      </c>
      <c r="D471" s="11">
        <v>269994.14</v>
      </c>
      <c r="E471" s="11">
        <v>261294.14</v>
      </c>
      <c r="F471" s="14">
        <f t="shared" si="43"/>
        <v>0.48221850330416149</v>
      </c>
      <c r="G471" s="14">
        <f t="shared" si="44"/>
        <v>0.24719916353312038</v>
      </c>
    </row>
    <row r="472" spans="1:7" ht="12.75" customHeight="1" outlineLevel="3" x14ac:dyDescent="0.25">
      <c r="A472" s="69" t="s">
        <v>13</v>
      </c>
      <c r="B472" s="11">
        <v>2067768</v>
      </c>
      <c r="C472" s="11">
        <v>1190000</v>
      </c>
      <c r="D472" s="11">
        <v>337571.37</v>
      </c>
      <c r="E472" s="11">
        <v>337372.5</v>
      </c>
      <c r="F472" s="14">
        <f t="shared" si="43"/>
        <v>0.28367342016806724</v>
      </c>
      <c r="G472" s="14">
        <f t="shared" si="44"/>
        <v>0.16325398690762213</v>
      </c>
    </row>
    <row r="473" spans="1:7" ht="12.75" customHeight="1" outlineLevel="3" x14ac:dyDescent="0.25">
      <c r="A473" s="69" t="s">
        <v>14</v>
      </c>
      <c r="B473" s="11">
        <v>279037</v>
      </c>
      <c r="C473" s="11">
        <v>98000</v>
      </c>
      <c r="D473" s="11">
        <v>13162.55</v>
      </c>
      <c r="E473" s="11">
        <v>13162.55</v>
      </c>
      <c r="F473" s="14">
        <f t="shared" si="43"/>
        <v>0.13431173469387755</v>
      </c>
      <c r="G473" s="14">
        <f t="shared" si="44"/>
        <v>4.7171342868508472E-2</v>
      </c>
    </row>
    <row r="474" spans="1:7" ht="12.75" customHeight="1" outlineLevel="3" x14ac:dyDescent="0.25">
      <c r="A474" s="69" t="s">
        <v>15</v>
      </c>
      <c r="B474" s="11">
        <v>929857</v>
      </c>
      <c r="C474" s="11">
        <v>370000</v>
      </c>
      <c r="D474" s="11">
        <v>174151.7</v>
      </c>
      <c r="E474" s="11">
        <v>174151.7</v>
      </c>
      <c r="F474" s="14">
        <f t="shared" si="43"/>
        <v>0.47068027027027032</v>
      </c>
      <c r="G474" s="14">
        <f t="shared" si="44"/>
        <v>0.18728869062662323</v>
      </c>
    </row>
    <row r="475" spans="1:7" ht="12.75" customHeight="1" outlineLevel="3" x14ac:dyDescent="0.25">
      <c r="A475" s="69" t="s">
        <v>26</v>
      </c>
      <c r="B475" s="11">
        <v>53956</v>
      </c>
      <c r="C475" s="11">
        <v>33956</v>
      </c>
      <c r="D475" s="11">
        <v>30411.17</v>
      </c>
      <c r="E475" s="11">
        <v>30411.17</v>
      </c>
      <c r="F475" s="14">
        <f t="shared" si="43"/>
        <v>0.89560519495818114</v>
      </c>
      <c r="G475" s="14">
        <f t="shared" si="44"/>
        <v>0.56362906812958702</v>
      </c>
    </row>
    <row r="476" spans="1:7" ht="27" customHeight="1" outlineLevel="3" x14ac:dyDescent="0.25">
      <c r="A476" s="69" t="s">
        <v>16</v>
      </c>
      <c r="B476" s="11">
        <v>10100</v>
      </c>
      <c r="C476" s="11">
        <v>10100</v>
      </c>
      <c r="D476" s="12"/>
      <c r="E476" s="12"/>
      <c r="F476" s="14">
        <f t="shared" si="43"/>
        <v>0</v>
      </c>
      <c r="G476" s="14">
        <f t="shared" si="44"/>
        <v>0</v>
      </c>
    </row>
    <row r="477" spans="1:7" ht="40.5" customHeight="1" outlineLevel="1" x14ac:dyDescent="0.25">
      <c r="A477" s="70" t="s">
        <v>83</v>
      </c>
      <c r="B477" s="22">
        <v>66800</v>
      </c>
      <c r="C477" s="22">
        <v>9704</v>
      </c>
      <c r="D477" s="38"/>
      <c r="E477" s="38"/>
      <c r="F477" s="23">
        <f t="shared" si="43"/>
        <v>0</v>
      </c>
      <c r="G477" s="23">
        <f t="shared" si="44"/>
        <v>0</v>
      </c>
    </row>
    <row r="478" spans="1:7" s="17" customFormat="1" ht="27.75" customHeight="1" outlineLevel="2" x14ac:dyDescent="0.2">
      <c r="A478" s="83" t="s">
        <v>22</v>
      </c>
      <c r="B478" s="9">
        <v>66800</v>
      </c>
      <c r="C478" s="9">
        <v>9704</v>
      </c>
      <c r="D478" s="80"/>
      <c r="E478" s="80"/>
      <c r="F478" s="16">
        <f t="shared" si="43"/>
        <v>0</v>
      </c>
      <c r="G478" s="16">
        <f t="shared" si="44"/>
        <v>0</v>
      </c>
    </row>
    <row r="479" spans="1:7" ht="16.5" customHeight="1" outlineLevel="3" x14ac:dyDescent="0.25">
      <c r="A479" s="69" t="s">
        <v>11</v>
      </c>
      <c r="B479" s="11">
        <v>66800</v>
      </c>
      <c r="C479" s="11">
        <v>9704</v>
      </c>
      <c r="D479" s="12"/>
      <c r="E479" s="12"/>
      <c r="F479" s="14">
        <f t="shared" si="43"/>
        <v>0</v>
      </c>
      <c r="G479" s="14">
        <f t="shared" si="44"/>
        <v>0</v>
      </c>
    </row>
    <row r="480" spans="1:7" ht="40.5" customHeight="1" outlineLevel="1" x14ac:dyDescent="0.25">
      <c r="A480" s="70" t="s">
        <v>84</v>
      </c>
      <c r="B480" s="22">
        <v>12696737</v>
      </c>
      <c r="C480" s="22">
        <v>4242895</v>
      </c>
      <c r="D480" s="22">
        <v>3987211.71</v>
      </c>
      <c r="E480" s="22">
        <v>3987211.71</v>
      </c>
      <c r="F480" s="23">
        <f t="shared" si="43"/>
        <v>0.939738482804783</v>
      </c>
      <c r="G480" s="23">
        <f t="shared" si="44"/>
        <v>0.31403436252952233</v>
      </c>
    </row>
    <row r="481" spans="1:7" s="17" customFormat="1" ht="24" customHeight="1" outlineLevel="2" x14ac:dyDescent="0.2">
      <c r="A481" s="83" t="s">
        <v>47</v>
      </c>
      <c r="B481" s="9">
        <v>12696737</v>
      </c>
      <c r="C481" s="9">
        <v>4242895</v>
      </c>
      <c r="D481" s="9">
        <v>3987211.71</v>
      </c>
      <c r="E481" s="9">
        <v>3987211.71</v>
      </c>
      <c r="F481" s="16">
        <f t="shared" si="43"/>
        <v>0.939738482804783</v>
      </c>
      <c r="G481" s="16">
        <f t="shared" si="44"/>
        <v>0.31403436252952233</v>
      </c>
    </row>
    <row r="482" spans="1:7" ht="12.75" customHeight="1" outlineLevel="3" x14ac:dyDescent="0.25">
      <c r="A482" s="69" t="s">
        <v>9</v>
      </c>
      <c r="B482" s="11">
        <v>9201452</v>
      </c>
      <c r="C482" s="11">
        <v>3067000</v>
      </c>
      <c r="D482" s="11">
        <v>3049277.23</v>
      </c>
      <c r="E482" s="11">
        <v>3049277.23</v>
      </c>
      <c r="F482" s="14">
        <f t="shared" si="43"/>
        <v>0.99422146397130751</v>
      </c>
      <c r="G482" s="14">
        <f t="shared" si="44"/>
        <v>0.33139087504885101</v>
      </c>
    </row>
    <row r="483" spans="1:7" ht="12.75" customHeight="1" outlineLevel="3" x14ac:dyDescent="0.25">
      <c r="A483" s="69" t="s">
        <v>10</v>
      </c>
      <c r="B483" s="11">
        <v>2024319</v>
      </c>
      <c r="C483" s="11">
        <v>674740</v>
      </c>
      <c r="D483" s="11">
        <v>628828.67000000004</v>
      </c>
      <c r="E483" s="11">
        <v>628828.67000000004</v>
      </c>
      <c r="F483" s="14">
        <f t="shared" si="43"/>
        <v>0.93195700566144002</v>
      </c>
      <c r="G483" s="14">
        <f t="shared" si="44"/>
        <v>0.31063714266377979</v>
      </c>
    </row>
    <row r="484" spans="1:7" ht="12.75" customHeight="1" outlineLevel="3" x14ac:dyDescent="0.25">
      <c r="A484" s="69" t="s">
        <v>11</v>
      </c>
      <c r="B484" s="11">
        <v>100006</v>
      </c>
      <c r="C484" s="11">
        <v>17000</v>
      </c>
      <c r="D484" s="11">
        <v>6300</v>
      </c>
      <c r="E484" s="11">
        <v>6300</v>
      </c>
      <c r="F484" s="14">
        <f t="shared" si="43"/>
        <v>0.37058823529411766</v>
      </c>
      <c r="G484" s="14">
        <f t="shared" si="44"/>
        <v>6.2996220226786387E-2</v>
      </c>
    </row>
    <row r="485" spans="1:7" ht="12.75" customHeight="1" outlineLevel="3" x14ac:dyDescent="0.25">
      <c r="A485" s="69" t="s">
        <v>12</v>
      </c>
      <c r="B485" s="11">
        <v>895000</v>
      </c>
      <c r="C485" s="11">
        <v>298200</v>
      </c>
      <c r="D485" s="11">
        <v>219181.52</v>
      </c>
      <c r="E485" s="11">
        <v>219181.52</v>
      </c>
      <c r="F485" s="14">
        <f t="shared" si="43"/>
        <v>0.73501515761234071</v>
      </c>
      <c r="G485" s="14">
        <f t="shared" si="44"/>
        <v>0.2448955530726257</v>
      </c>
    </row>
    <row r="486" spans="1:7" ht="12.75" customHeight="1" outlineLevel="3" x14ac:dyDescent="0.25">
      <c r="A486" s="69" t="s">
        <v>13</v>
      </c>
      <c r="B486" s="11">
        <v>215016</v>
      </c>
      <c r="C486" s="11">
        <v>95800</v>
      </c>
      <c r="D486" s="11">
        <v>1907.01</v>
      </c>
      <c r="E486" s="11">
        <v>1907.01</v>
      </c>
      <c r="F486" s="14">
        <f t="shared" si="43"/>
        <v>1.9906158663883091E-2</v>
      </c>
      <c r="G486" s="14">
        <f t="shared" si="44"/>
        <v>8.8691539234289542E-3</v>
      </c>
    </row>
    <row r="487" spans="1:7" ht="12.75" customHeight="1" outlineLevel="3" x14ac:dyDescent="0.25">
      <c r="A487" s="69" t="s">
        <v>14</v>
      </c>
      <c r="B487" s="11">
        <v>27989</v>
      </c>
      <c r="C487" s="11">
        <v>9200</v>
      </c>
      <c r="D487" s="11">
        <v>8427.2199999999993</v>
      </c>
      <c r="E487" s="11">
        <v>8427.2199999999993</v>
      </c>
      <c r="F487" s="14">
        <f t="shared" si="43"/>
        <v>0.91600217391304339</v>
      </c>
      <c r="G487" s="14">
        <f t="shared" si="44"/>
        <v>0.30109042838257882</v>
      </c>
    </row>
    <row r="488" spans="1:7" ht="12.75" customHeight="1" outlineLevel="3" x14ac:dyDescent="0.25">
      <c r="A488" s="69" t="s">
        <v>15</v>
      </c>
      <c r="B488" s="11">
        <v>228000</v>
      </c>
      <c r="C488" s="11">
        <v>76000</v>
      </c>
      <c r="D488" s="11">
        <v>73290.06</v>
      </c>
      <c r="E488" s="11">
        <v>73290.06</v>
      </c>
      <c r="F488" s="14">
        <f t="shared" si="43"/>
        <v>0.96434289473684209</v>
      </c>
      <c r="G488" s="14">
        <f t="shared" si="44"/>
        <v>0.32144763157894735</v>
      </c>
    </row>
    <row r="489" spans="1:7" ht="30" customHeight="1" outlineLevel="3" x14ac:dyDescent="0.25">
      <c r="A489" s="69" t="s">
        <v>16</v>
      </c>
      <c r="B489" s="11">
        <v>4955</v>
      </c>
      <c r="C489" s="11">
        <v>4955</v>
      </c>
      <c r="D489" s="12"/>
      <c r="E489" s="12"/>
      <c r="F489" s="14">
        <f t="shared" si="43"/>
        <v>0</v>
      </c>
      <c r="G489" s="14">
        <f t="shared" si="44"/>
        <v>0</v>
      </c>
    </row>
    <row r="490" spans="1:7" ht="26.25" customHeight="1" outlineLevel="1" x14ac:dyDescent="0.25">
      <c r="A490" s="70" t="s">
        <v>124</v>
      </c>
      <c r="B490" s="22">
        <v>91000</v>
      </c>
      <c r="C490" s="22">
        <v>26000</v>
      </c>
      <c r="D490" s="22">
        <v>26000</v>
      </c>
      <c r="E490" s="22">
        <v>26000</v>
      </c>
      <c r="F490" s="23">
        <f t="shared" si="43"/>
        <v>1</v>
      </c>
      <c r="G490" s="23">
        <f t="shared" si="44"/>
        <v>0.2857142857142857</v>
      </c>
    </row>
    <row r="491" spans="1:7" s="17" customFormat="1" ht="24.75" customHeight="1" outlineLevel="2" x14ac:dyDescent="0.2">
      <c r="A491" s="83" t="s">
        <v>20</v>
      </c>
      <c r="B491" s="9">
        <v>91000</v>
      </c>
      <c r="C491" s="9">
        <v>26000</v>
      </c>
      <c r="D491" s="9">
        <v>26000</v>
      </c>
      <c r="E491" s="9">
        <v>26000</v>
      </c>
      <c r="F491" s="16">
        <f t="shared" si="43"/>
        <v>1</v>
      </c>
      <c r="G491" s="16">
        <f t="shared" si="44"/>
        <v>0.2857142857142857</v>
      </c>
    </row>
    <row r="492" spans="1:7" ht="18" customHeight="1" outlineLevel="3" x14ac:dyDescent="0.25">
      <c r="A492" s="69" t="s">
        <v>11</v>
      </c>
      <c r="B492" s="11">
        <v>91000</v>
      </c>
      <c r="C492" s="11">
        <v>26000</v>
      </c>
      <c r="D492" s="11">
        <v>26000</v>
      </c>
      <c r="E492" s="11">
        <v>26000</v>
      </c>
      <c r="F492" s="14">
        <f t="shared" si="43"/>
        <v>1</v>
      </c>
      <c r="G492" s="14">
        <f t="shared" si="44"/>
        <v>0.2857142857142857</v>
      </c>
    </row>
    <row r="493" spans="1:7" ht="17.25" customHeight="1" outlineLevel="3" x14ac:dyDescent="0.25">
      <c r="A493" s="24" t="s">
        <v>48</v>
      </c>
      <c r="B493" s="25">
        <f>B494+B505+B515</f>
        <v>58815969</v>
      </c>
      <c r="C493" s="25">
        <f t="shared" ref="C493:E493" si="45">C494+C505+C515</f>
        <v>20561080</v>
      </c>
      <c r="D493" s="25">
        <f t="shared" si="45"/>
        <v>17672745.220000003</v>
      </c>
      <c r="E493" s="25">
        <f t="shared" si="45"/>
        <v>17672745.220000003</v>
      </c>
      <c r="F493" s="26">
        <f t="shared" ref="F493" si="46">D493/C493</f>
        <v>0.85952416993659875</v>
      </c>
      <c r="G493" s="26">
        <f t="shared" ref="G493" si="47">D493/B493</f>
        <v>0.30047528792733147</v>
      </c>
    </row>
    <row r="494" spans="1:7" ht="16.5" customHeight="1" outlineLevel="1" x14ac:dyDescent="0.25">
      <c r="A494" s="70" t="s">
        <v>86</v>
      </c>
      <c r="B494" s="22">
        <v>43464259</v>
      </c>
      <c r="C494" s="22">
        <f>C495</f>
        <v>15276156</v>
      </c>
      <c r="D494" s="22">
        <v>13296962.15</v>
      </c>
      <c r="E494" s="22">
        <v>13296962.15</v>
      </c>
      <c r="F494" s="23">
        <f t="shared" ref="F494:F503" si="48">D494/C494</f>
        <v>0.8704390129296925</v>
      </c>
      <c r="G494" s="23">
        <f t="shared" ref="G494:G524" si="49">D494/B494</f>
        <v>0.30592865163075711</v>
      </c>
    </row>
    <row r="495" spans="1:7" s="17" customFormat="1" ht="28.5" customHeight="1" outlineLevel="2" x14ac:dyDescent="0.2">
      <c r="A495" s="83" t="s">
        <v>25</v>
      </c>
      <c r="B495" s="9">
        <v>43464259</v>
      </c>
      <c r="C495" s="9">
        <f>SUM(C496:C504)</f>
        <v>15276156</v>
      </c>
      <c r="D495" s="9">
        <v>13296962.15</v>
      </c>
      <c r="E495" s="9">
        <v>13296962.15</v>
      </c>
      <c r="F495" s="16">
        <f t="shared" si="48"/>
        <v>0.8704390129296925</v>
      </c>
      <c r="G495" s="16">
        <f t="shared" si="49"/>
        <v>0.30592865163075711</v>
      </c>
    </row>
    <row r="496" spans="1:7" ht="15" customHeight="1" outlineLevel="3" x14ac:dyDescent="0.25">
      <c r="A496" s="69" t="s">
        <v>9</v>
      </c>
      <c r="B496" s="11">
        <v>30066049</v>
      </c>
      <c r="C496" s="11">
        <v>10076049</v>
      </c>
      <c r="D496" s="11">
        <v>10050708.24</v>
      </c>
      <c r="E496" s="11">
        <v>10050708.24</v>
      </c>
      <c r="F496" s="14">
        <f t="shared" si="48"/>
        <v>0.99748504994368326</v>
      </c>
      <c r="G496" s="14">
        <f t="shared" si="49"/>
        <v>0.33428762921260458</v>
      </c>
    </row>
    <row r="497" spans="1:7" ht="15" customHeight="1" outlineLevel="3" x14ac:dyDescent="0.25">
      <c r="A497" s="69" t="s">
        <v>10</v>
      </c>
      <c r="B497" s="11">
        <v>6614531</v>
      </c>
      <c r="C497" s="11">
        <v>2216731</v>
      </c>
      <c r="D497" s="11">
        <v>2206211.25</v>
      </c>
      <c r="E497" s="11">
        <v>2206211.25</v>
      </c>
      <c r="F497" s="14">
        <f t="shared" si="48"/>
        <v>0.99525438585015502</v>
      </c>
      <c r="G497" s="14">
        <f t="shared" si="49"/>
        <v>0.33354008772504051</v>
      </c>
    </row>
    <row r="498" spans="1:7" ht="15" customHeight="1" outlineLevel="3" x14ac:dyDescent="0.25">
      <c r="A498" s="69" t="s">
        <v>11</v>
      </c>
      <c r="B498" s="11">
        <v>200000</v>
      </c>
      <c r="C498" s="11">
        <v>100000</v>
      </c>
      <c r="D498" s="11">
        <v>25123</v>
      </c>
      <c r="E498" s="11">
        <v>25123</v>
      </c>
      <c r="F498" s="14">
        <f t="shared" si="48"/>
        <v>0.25123000000000001</v>
      </c>
      <c r="G498" s="14">
        <f t="shared" si="49"/>
        <v>0.125615</v>
      </c>
    </row>
    <row r="499" spans="1:7" ht="15" customHeight="1" outlineLevel="3" x14ac:dyDescent="0.25">
      <c r="A499" s="69" t="s">
        <v>12</v>
      </c>
      <c r="B499" s="11">
        <v>1700000</v>
      </c>
      <c r="C499" s="11">
        <v>500000</v>
      </c>
      <c r="D499" s="11">
        <v>342958.41</v>
      </c>
      <c r="E499" s="11">
        <v>342958.41</v>
      </c>
      <c r="F499" s="14">
        <f t="shared" si="48"/>
        <v>0.68591681999999998</v>
      </c>
      <c r="G499" s="14">
        <f t="shared" si="49"/>
        <v>0.20174024117647057</v>
      </c>
    </row>
    <row r="500" spans="1:7" ht="15" customHeight="1" outlineLevel="3" x14ac:dyDescent="0.25">
      <c r="A500" s="69" t="s">
        <v>13</v>
      </c>
      <c r="B500" s="11">
        <v>2693715</v>
      </c>
      <c r="C500" s="11">
        <v>1476132</v>
      </c>
      <c r="D500" s="11">
        <v>499784.08</v>
      </c>
      <c r="E500" s="11">
        <v>499784.08</v>
      </c>
      <c r="F500" s="14">
        <f t="shared" si="48"/>
        <v>0.33857682104310455</v>
      </c>
      <c r="G500" s="14">
        <f t="shared" si="49"/>
        <v>0.18553710396237166</v>
      </c>
    </row>
    <row r="501" spans="1:7" ht="15" customHeight="1" outlineLevel="3" x14ac:dyDescent="0.25">
      <c r="A501" s="69" t="s">
        <v>14</v>
      </c>
      <c r="B501" s="11">
        <v>74803</v>
      </c>
      <c r="C501" s="11">
        <v>25568</v>
      </c>
      <c r="D501" s="11">
        <v>15554.05</v>
      </c>
      <c r="E501" s="11">
        <v>15554.05</v>
      </c>
      <c r="F501" s="14">
        <f t="shared" si="48"/>
        <v>0.60834050375469328</v>
      </c>
      <c r="G501" s="14">
        <f t="shared" si="49"/>
        <v>0.20793350534069488</v>
      </c>
    </row>
    <row r="502" spans="1:7" ht="15" customHeight="1" outlineLevel="3" x14ac:dyDescent="0.25">
      <c r="A502" s="69" t="s">
        <v>15</v>
      </c>
      <c r="B502" s="11">
        <v>770161</v>
      </c>
      <c r="C502" s="11">
        <v>266684</v>
      </c>
      <c r="D502" s="11">
        <v>144568.88</v>
      </c>
      <c r="E502" s="11">
        <v>144568.88</v>
      </c>
      <c r="F502" s="14">
        <f t="shared" si="48"/>
        <v>0.54209806362586432</v>
      </c>
      <c r="G502" s="14">
        <f t="shared" si="49"/>
        <v>0.18771254322148226</v>
      </c>
    </row>
    <row r="503" spans="1:7" ht="15" customHeight="1" outlineLevel="3" x14ac:dyDescent="0.25">
      <c r="A503" s="69" t="s">
        <v>26</v>
      </c>
      <c r="B503" s="11">
        <v>45000</v>
      </c>
      <c r="C503" s="11">
        <v>14992</v>
      </c>
      <c r="D503" s="11">
        <v>12054.24</v>
      </c>
      <c r="E503" s="11">
        <v>12054.24</v>
      </c>
      <c r="F503" s="14">
        <f t="shared" si="48"/>
        <v>0.80404482390608323</v>
      </c>
      <c r="G503" s="14">
        <f t="shared" si="49"/>
        <v>0.267872</v>
      </c>
    </row>
    <row r="504" spans="1:7" ht="15" customHeight="1" outlineLevel="3" x14ac:dyDescent="0.25">
      <c r="A504" s="69" t="s">
        <v>57</v>
      </c>
      <c r="B504" s="11">
        <v>1300000</v>
      </c>
      <c r="C504" s="11">
        <v>600000</v>
      </c>
      <c r="D504" s="12"/>
      <c r="E504" s="12"/>
      <c r="F504" s="14">
        <v>0</v>
      </c>
      <c r="G504" s="14">
        <f t="shared" si="49"/>
        <v>0</v>
      </c>
    </row>
    <row r="505" spans="1:7" ht="28.5" customHeight="1" outlineLevel="1" x14ac:dyDescent="0.25">
      <c r="A505" s="70" t="s">
        <v>87</v>
      </c>
      <c r="B505" s="22">
        <v>10907467</v>
      </c>
      <c r="C505" s="22">
        <f>C506</f>
        <v>3850907</v>
      </c>
      <c r="D505" s="22">
        <v>2999220.54</v>
      </c>
      <c r="E505" s="22">
        <v>2999220.54</v>
      </c>
      <c r="F505" s="23">
        <f t="shared" ref="F505:F524" si="50">D505/C505</f>
        <v>0.7788348407271326</v>
      </c>
      <c r="G505" s="23">
        <f t="shared" si="49"/>
        <v>0.27496948099865898</v>
      </c>
    </row>
    <row r="506" spans="1:7" s="17" customFormat="1" ht="28.5" customHeight="1" outlineLevel="2" x14ac:dyDescent="0.2">
      <c r="A506" s="83" t="s">
        <v>25</v>
      </c>
      <c r="B506" s="9">
        <v>10907467</v>
      </c>
      <c r="C506" s="9">
        <f>SUM(C507:C514)</f>
        <v>3850907</v>
      </c>
      <c r="D506" s="9">
        <v>2999220.54</v>
      </c>
      <c r="E506" s="9">
        <v>2999220.54</v>
      </c>
      <c r="F506" s="16">
        <f t="shared" si="50"/>
        <v>0.7788348407271326</v>
      </c>
      <c r="G506" s="16">
        <f t="shared" si="49"/>
        <v>0.27496948099865898</v>
      </c>
    </row>
    <row r="507" spans="1:7" ht="15" customHeight="1" outlineLevel="3" x14ac:dyDescent="0.25">
      <c r="A507" s="69" t="s">
        <v>9</v>
      </c>
      <c r="B507" s="11">
        <v>6413107</v>
      </c>
      <c r="C507" s="11">
        <v>2121000</v>
      </c>
      <c r="D507" s="11">
        <v>2108811.8199999998</v>
      </c>
      <c r="E507" s="11">
        <v>2108811.8199999998</v>
      </c>
      <c r="F507" s="14">
        <f t="shared" si="50"/>
        <v>0.99425356907119278</v>
      </c>
      <c r="G507" s="14">
        <f t="shared" si="49"/>
        <v>0.32882841655378586</v>
      </c>
    </row>
    <row r="508" spans="1:7" ht="15" customHeight="1" outlineLevel="3" x14ac:dyDescent="0.25">
      <c r="A508" s="69" t="s">
        <v>10</v>
      </c>
      <c r="B508" s="11">
        <v>1410883</v>
      </c>
      <c r="C508" s="11">
        <v>466620</v>
      </c>
      <c r="D508" s="11">
        <v>424843.81</v>
      </c>
      <c r="E508" s="11">
        <v>424843.81</v>
      </c>
      <c r="F508" s="14">
        <f t="shared" si="50"/>
        <v>0.91047063992113497</v>
      </c>
      <c r="G508" s="14">
        <f t="shared" si="49"/>
        <v>0.30111909350385541</v>
      </c>
    </row>
    <row r="509" spans="1:7" ht="15" customHeight="1" outlineLevel="3" x14ac:dyDescent="0.25">
      <c r="A509" s="69" t="s">
        <v>11</v>
      </c>
      <c r="B509" s="11">
        <v>400000</v>
      </c>
      <c r="C509" s="11">
        <v>208000</v>
      </c>
      <c r="D509" s="11">
        <v>11700</v>
      </c>
      <c r="E509" s="11">
        <v>11700</v>
      </c>
      <c r="F509" s="14">
        <f t="shared" si="50"/>
        <v>5.6250000000000001E-2</v>
      </c>
      <c r="G509" s="14">
        <f t="shared" si="49"/>
        <v>2.9250000000000002E-2</v>
      </c>
    </row>
    <row r="510" spans="1:7" ht="15" customHeight="1" outlineLevel="3" x14ac:dyDescent="0.25">
      <c r="A510" s="69" t="s">
        <v>12</v>
      </c>
      <c r="B510" s="11">
        <v>794664</v>
      </c>
      <c r="C510" s="11">
        <v>95000</v>
      </c>
      <c r="D510" s="11">
        <v>38259.96</v>
      </c>
      <c r="E510" s="11">
        <v>38259.96</v>
      </c>
      <c r="F510" s="14">
        <f t="shared" si="50"/>
        <v>0.40273642105263158</v>
      </c>
      <c r="G510" s="14">
        <f t="shared" si="49"/>
        <v>4.81460843828335E-2</v>
      </c>
    </row>
    <row r="511" spans="1:7" ht="15" customHeight="1" outlineLevel="3" x14ac:dyDescent="0.25">
      <c r="A511" s="69" t="s">
        <v>13</v>
      </c>
      <c r="B511" s="11">
        <v>1129002</v>
      </c>
      <c r="C511" s="11">
        <f>720184-66700</f>
        <v>653484</v>
      </c>
      <c r="D511" s="11">
        <v>124226.49</v>
      </c>
      <c r="E511" s="11">
        <v>124226.49</v>
      </c>
      <c r="F511" s="14">
        <f t="shared" si="50"/>
        <v>0.19009874763574933</v>
      </c>
      <c r="G511" s="14">
        <f t="shared" si="49"/>
        <v>0.11003212571811211</v>
      </c>
    </row>
    <row r="512" spans="1:7" ht="15" customHeight="1" outlineLevel="3" x14ac:dyDescent="0.25">
      <c r="A512" s="69" t="s">
        <v>14</v>
      </c>
      <c r="B512" s="11">
        <v>85321</v>
      </c>
      <c r="C512" s="11">
        <v>22981</v>
      </c>
      <c r="D512" s="11">
        <v>11148.78</v>
      </c>
      <c r="E512" s="11">
        <v>11148.78</v>
      </c>
      <c r="F512" s="14">
        <f t="shared" si="50"/>
        <v>0.48513032505112924</v>
      </c>
      <c r="G512" s="14">
        <f t="shared" si="49"/>
        <v>0.13066865132851233</v>
      </c>
    </row>
    <row r="513" spans="1:8" ht="15" customHeight="1" outlineLevel="3" x14ac:dyDescent="0.25">
      <c r="A513" s="69" t="s">
        <v>15</v>
      </c>
      <c r="B513" s="11">
        <v>654990</v>
      </c>
      <c r="C513" s="11">
        <f>210622+66700</f>
        <v>277322</v>
      </c>
      <c r="D513" s="11">
        <v>277299.53000000003</v>
      </c>
      <c r="E513" s="11">
        <v>277299.53000000003</v>
      </c>
      <c r="F513" s="14">
        <f t="shared" si="50"/>
        <v>0.99991897505426919</v>
      </c>
      <c r="G513" s="14">
        <f t="shared" si="49"/>
        <v>0.42336452464923136</v>
      </c>
      <c r="H513" s="20"/>
    </row>
    <row r="514" spans="1:8" ht="15" customHeight="1" outlineLevel="3" x14ac:dyDescent="0.25">
      <c r="A514" s="69" t="s">
        <v>26</v>
      </c>
      <c r="B514" s="11">
        <v>19500</v>
      </c>
      <c r="C514" s="11">
        <v>6500</v>
      </c>
      <c r="D514" s="11">
        <v>2930.15</v>
      </c>
      <c r="E514" s="11">
        <v>2930.15</v>
      </c>
      <c r="F514" s="14">
        <f t="shared" si="50"/>
        <v>0.45079230769230771</v>
      </c>
      <c r="G514" s="14">
        <f t="shared" si="49"/>
        <v>0.15026410256410258</v>
      </c>
    </row>
    <row r="515" spans="1:8" ht="26.25" customHeight="1" outlineLevel="1" x14ac:dyDescent="0.25">
      <c r="A515" s="70" t="s">
        <v>88</v>
      </c>
      <c r="B515" s="22">
        <v>4444243</v>
      </c>
      <c r="C515" s="22">
        <f>C516</f>
        <v>1434017</v>
      </c>
      <c r="D515" s="22">
        <v>1376562.53</v>
      </c>
      <c r="E515" s="22">
        <v>1376562.53</v>
      </c>
      <c r="F515" s="23">
        <f t="shared" si="50"/>
        <v>0.95993459631231715</v>
      </c>
      <c r="G515" s="23">
        <f t="shared" si="49"/>
        <v>0.30974060824306865</v>
      </c>
    </row>
    <row r="516" spans="1:8" s="17" customFormat="1" ht="25.5" customHeight="1" outlineLevel="2" x14ac:dyDescent="0.2">
      <c r="A516" s="83" t="s">
        <v>25</v>
      </c>
      <c r="B516" s="9">
        <v>4444243</v>
      </c>
      <c r="C516" s="9">
        <f>SUM(C517:C524)</f>
        <v>1434017</v>
      </c>
      <c r="D516" s="9">
        <v>1376562.53</v>
      </c>
      <c r="E516" s="9">
        <v>1376562.53</v>
      </c>
      <c r="F516" s="16">
        <f t="shared" si="50"/>
        <v>0.95993459631231715</v>
      </c>
      <c r="G516" s="16">
        <f t="shared" si="49"/>
        <v>0.30974060824306865</v>
      </c>
    </row>
    <row r="517" spans="1:8" ht="13.5" customHeight="1" outlineLevel="3" x14ac:dyDescent="0.25">
      <c r="A517" s="69" t="s">
        <v>9</v>
      </c>
      <c r="B517" s="11">
        <v>3352525</v>
      </c>
      <c r="C517" s="11">
        <v>1052000</v>
      </c>
      <c r="D517" s="11">
        <v>1050826.73</v>
      </c>
      <c r="E517" s="11">
        <v>1050826.73</v>
      </c>
      <c r="F517" s="14">
        <f t="shared" si="50"/>
        <v>0.99888472433460074</v>
      </c>
      <c r="G517" s="14">
        <f t="shared" si="49"/>
        <v>0.31344336880411033</v>
      </c>
    </row>
    <row r="518" spans="1:8" ht="13.5" customHeight="1" outlineLevel="3" x14ac:dyDescent="0.25">
      <c r="A518" s="69" t="s">
        <v>10</v>
      </c>
      <c r="B518" s="11">
        <v>737556</v>
      </c>
      <c r="C518" s="11">
        <v>231440</v>
      </c>
      <c r="D518" s="11">
        <v>231181.96</v>
      </c>
      <c r="E518" s="11">
        <v>231181.96</v>
      </c>
      <c r="F518" s="14">
        <f t="shared" si="50"/>
        <v>0.99888506740407879</v>
      </c>
      <c r="G518" s="14">
        <f t="shared" si="49"/>
        <v>0.31344326396910877</v>
      </c>
    </row>
    <row r="519" spans="1:8" ht="13.5" customHeight="1" outlineLevel="3" x14ac:dyDescent="0.25">
      <c r="A519" s="69" t="s">
        <v>11</v>
      </c>
      <c r="B519" s="11">
        <v>50000</v>
      </c>
      <c r="C519" s="11">
        <v>20000</v>
      </c>
      <c r="D519" s="11">
        <v>16650</v>
      </c>
      <c r="E519" s="11">
        <v>16650</v>
      </c>
      <c r="F519" s="14">
        <f t="shared" si="50"/>
        <v>0.83250000000000002</v>
      </c>
      <c r="G519" s="14">
        <f t="shared" si="49"/>
        <v>0.33300000000000002</v>
      </c>
    </row>
    <row r="520" spans="1:8" ht="13.5" customHeight="1" outlineLevel="3" x14ac:dyDescent="0.25">
      <c r="A520" s="69" t="s">
        <v>12</v>
      </c>
      <c r="B520" s="11">
        <v>230000</v>
      </c>
      <c r="C520" s="11">
        <v>95000</v>
      </c>
      <c r="D520" s="11">
        <v>69504.179999999993</v>
      </c>
      <c r="E520" s="11">
        <v>69504.179999999993</v>
      </c>
      <c r="F520" s="14">
        <f t="shared" si="50"/>
        <v>0.73162294736842093</v>
      </c>
      <c r="G520" s="14">
        <f t="shared" si="49"/>
        <v>0.30219208695652172</v>
      </c>
    </row>
    <row r="521" spans="1:8" ht="13.5" customHeight="1" outlineLevel="3" x14ac:dyDescent="0.25">
      <c r="A521" s="69" t="s">
        <v>13</v>
      </c>
      <c r="B521" s="11">
        <v>33548</v>
      </c>
      <c r="C521" s="11">
        <v>20567</v>
      </c>
      <c r="D521" s="12"/>
      <c r="E521" s="12"/>
      <c r="F521" s="14">
        <f t="shared" si="50"/>
        <v>0</v>
      </c>
      <c r="G521" s="14">
        <f t="shared" si="49"/>
        <v>0</v>
      </c>
    </row>
    <row r="522" spans="1:8" ht="13.5" customHeight="1" outlineLevel="3" x14ac:dyDescent="0.25">
      <c r="A522" s="69" t="s">
        <v>14</v>
      </c>
      <c r="B522" s="11">
        <v>3664</v>
      </c>
      <c r="C522" s="11">
        <v>1188</v>
      </c>
      <c r="D522" s="11">
        <v>1188</v>
      </c>
      <c r="E522" s="11">
        <v>1188</v>
      </c>
      <c r="F522" s="14">
        <f t="shared" si="50"/>
        <v>1</v>
      </c>
      <c r="G522" s="14">
        <f t="shared" si="49"/>
        <v>0.32423580786026202</v>
      </c>
    </row>
    <row r="523" spans="1:8" ht="13.5" customHeight="1" outlineLevel="3" x14ac:dyDescent="0.25">
      <c r="A523" s="69" t="s">
        <v>15</v>
      </c>
      <c r="B523" s="11">
        <v>33750</v>
      </c>
      <c r="C523" s="11">
        <v>12750</v>
      </c>
      <c r="D523" s="11">
        <v>6595.68</v>
      </c>
      <c r="E523" s="11">
        <v>6595.68</v>
      </c>
      <c r="F523" s="14">
        <f t="shared" si="50"/>
        <v>0.51730823529411762</v>
      </c>
      <c r="G523" s="14">
        <f t="shared" si="49"/>
        <v>0.19542755555555558</v>
      </c>
    </row>
    <row r="524" spans="1:8" ht="13.5" customHeight="1" outlineLevel="3" x14ac:dyDescent="0.25">
      <c r="A524" s="69" t="s">
        <v>26</v>
      </c>
      <c r="B524" s="11">
        <v>3200</v>
      </c>
      <c r="C524" s="11">
        <v>1072</v>
      </c>
      <c r="D524" s="13">
        <v>615.98</v>
      </c>
      <c r="E524" s="13">
        <v>615.98</v>
      </c>
      <c r="F524" s="14">
        <f t="shared" si="50"/>
        <v>0.57460820895522391</v>
      </c>
      <c r="G524" s="14">
        <f t="shared" si="49"/>
        <v>0.19249375000000002</v>
      </c>
    </row>
    <row r="525" spans="1:8" ht="19.5" customHeight="1" outlineLevel="3" x14ac:dyDescent="0.25">
      <c r="A525" s="24" t="s">
        <v>49</v>
      </c>
      <c r="B525" s="25">
        <f>B526+B572</f>
        <v>60535436</v>
      </c>
      <c r="C525" s="25">
        <f t="shared" ref="C525:E525" si="51">C526+C572</f>
        <v>19866834</v>
      </c>
      <c r="D525" s="25">
        <f t="shared" si="51"/>
        <v>17887130.529999997</v>
      </c>
      <c r="E525" s="25">
        <f t="shared" si="51"/>
        <v>17887130.529999997</v>
      </c>
      <c r="F525" s="39">
        <f t="shared" ref="F525" si="52">D525/C525</f>
        <v>0.90035133579915139</v>
      </c>
      <c r="G525" s="39">
        <f t="shared" ref="G525" si="53">D525/B525</f>
        <v>0.29548198066996656</v>
      </c>
    </row>
    <row r="526" spans="1:8" ht="26.1" customHeight="1" outlineLevel="1" x14ac:dyDescent="0.25">
      <c r="A526" s="70" t="s">
        <v>89</v>
      </c>
      <c r="B526" s="22">
        <f>B527+B538+B549+B561</f>
        <v>60415436</v>
      </c>
      <c r="C526" s="22">
        <f t="shared" ref="C526:E526" si="54">C527+C538+C549+C561</f>
        <v>19746834</v>
      </c>
      <c r="D526" s="22">
        <f t="shared" si="54"/>
        <v>17841172.529999997</v>
      </c>
      <c r="E526" s="22">
        <f t="shared" si="54"/>
        <v>17841172.529999997</v>
      </c>
      <c r="F526" s="23">
        <f t="shared" ref="F526:F557" si="55">D526/C526</f>
        <v>0.90349534158235179</v>
      </c>
      <c r="G526" s="23">
        <f t="shared" ref="G526:G557" si="56">D526/B526</f>
        <v>0.29530818133961656</v>
      </c>
    </row>
    <row r="527" spans="1:8" s="17" customFormat="1" ht="15" customHeight="1" outlineLevel="2" x14ac:dyDescent="0.2">
      <c r="A527" s="83" t="s">
        <v>50</v>
      </c>
      <c r="B527" s="9">
        <f>SUM(B528:B537)</f>
        <v>14990964</v>
      </c>
      <c r="C527" s="9">
        <f t="shared" ref="C527:E527" si="57">SUM(C528:C537)</f>
        <v>5115992</v>
      </c>
      <c r="D527" s="9">
        <f t="shared" si="57"/>
        <v>4299594.4099999992</v>
      </c>
      <c r="E527" s="9">
        <f t="shared" si="57"/>
        <v>4299594.4099999992</v>
      </c>
      <c r="F527" s="16">
        <f t="shared" si="55"/>
        <v>0.8404224263837784</v>
      </c>
      <c r="G527" s="16">
        <f t="shared" si="56"/>
        <v>0.28681240312497575</v>
      </c>
    </row>
    <row r="528" spans="1:8" ht="14.25" customHeight="1" outlineLevel="3" x14ac:dyDescent="0.25">
      <c r="A528" s="69" t="s">
        <v>9</v>
      </c>
      <c r="B528" s="11">
        <v>9875516</v>
      </c>
      <c r="C528" s="11">
        <v>3140000</v>
      </c>
      <c r="D528" s="11">
        <v>3137034.76</v>
      </c>
      <c r="E528" s="11">
        <v>3137034.76</v>
      </c>
      <c r="F528" s="14">
        <f t="shared" si="55"/>
        <v>0.99905565605095537</v>
      </c>
      <c r="G528" s="14">
        <f t="shared" si="56"/>
        <v>0.31765780745026384</v>
      </c>
      <c r="H528" s="20"/>
    </row>
    <row r="529" spans="1:9" ht="14.25" customHeight="1" outlineLevel="3" x14ac:dyDescent="0.25">
      <c r="A529" s="69" t="s">
        <v>10</v>
      </c>
      <c r="B529" s="11">
        <v>2172614</v>
      </c>
      <c r="C529" s="11">
        <v>690800</v>
      </c>
      <c r="D529" s="11">
        <v>686302.59</v>
      </c>
      <c r="E529" s="11">
        <v>686302.59</v>
      </c>
      <c r="F529" s="14">
        <f t="shared" si="55"/>
        <v>0.99348956282570933</v>
      </c>
      <c r="G529" s="14">
        <f t="shared" si="56"/>
        <v>0.31588795340543696</v>
      </c>
      <c r="H529" s="20"/>
    </row>
    <row r="530" spans="1:9" ht="14.25" customHeight="1" outlineLevel="3" x14ac:dyDescent="0.25">
      <c r="A530" s="69" t="s">
        <v>11</v>
      </c>
      <c r="B530" s="11">
        <v>236300</v>
      </c>
      <c r="C530" s="11">
        <v>104300</v>
      </c>
      <c r="D530" s="11">
        <v>97042.63</v>
      </c>
      <c r="E530" s="11">
        <v>97042.63</v>
      </c>
      <c r="F530" s="14">
        <f t="shared" si="55"/>
        <v>0.93041831255992336</v>
      </c>
      <c r="G530" s="14">
        <f t="shared" si="56"/>
        <v>0.41067553956834535</v>
      </c>
      <c r="H530" s="20"/>
    </row>
    <row r="531" spans="1:9" ht="14.25" customHeight="1" outlineLevel="3" x14ac:dyDescent="0.25">
      <c r="A531" s="69" t="s">
        <v>12</v>
      </c>
      <c r="B531" s="11">
        <v>654559</v>
      </c>
      <c r="C531" s="11">
        <v>289559</v>
      </c>
      <c r="D531" s="11">
        <v>83833.440000000002</v>
      </c>
      <c r="E531" s="11">
        <v>83833.440000000002</v>
      </c>
      <c r="F531" s="14">
        <f t="shared" si="55"/>
        <v>0.28952109932690751</v>
      </c>
      <c r="G531" s="14">
        <f t="shared" si="56"/>
        <v>0.12807621620052587</v>
      </c>
      <c r="H531" s="20"/>
    </row>
    <row r="532" spans="1:9" ht="14.25" customHeight="1" outlineLevel="3" x14ac:dyDescent="0.25">
      <c r="A532" s="69" t="s">
        <v>21</v>
      </c>
      <c r="B532" s="11">
        <v>545000</v>
      </c>
      <c r="C532" s="11">
        <v>250000</v>
      </c>
      <c r="D532" s="11">
        <v>5791.4</v>
      </c>
      <c r="E532" s="11">
        <v>5791.4</v>
      </c>
      <c r="F532" s="14">
        <f t="shared" si="55"/>
        <v>2.3165599999999998E-2</v>
      </c>
      <c r="G532" s="14">
        <f t="shared" si="56"/>
        <v>1.0626422018348623E-2</v>
      </c>
      <c r="H532" s="20"/>
    </row>
    <row r="533" spans="1:9" ht="14.25" customHeight="1" outlineLevel="3" x14ac:dyDescent="0.25">
      <c r="A533" s="69" t="s">
        <v>13</v>
      </c>
      <c r="B533" s="11">
        <v>444732</v>
      </c>
      <c r="C533" s="11">
        <v>277946</v>
      </c>
      <c r="D533" s="11">
        <v>19238.64</v>
      </c>
      <c r="E533" s="11">
        <v>19238.64</v>
      </c>
      <c r="F533" s="14">
        <f t="shared" si="55"/>
        <v>6.9217186072114731E-2</v>
      </c>
      <c r="G533" s="14">
        <f t="shared" si="56"/>
        <v>4.3258951458406407E-2</v>
      </c>
      <c r="H533" s="20"/>
    </row>
    <row r="534" spans="1:9" ht="14.25" customHeight="1" outlineLevel="3" x14ac:dyDescent="0.25">
      <c r="A534" s="69" t="s">
        <v>14</v>
      </c>
      <c r="B534" s="11">
        <v>158055</v>
      </c>
      <c r="C534" s="11">
        <v>51996</v>
      </c>
      <c r="D534" s="11">
        <v>7724.85</v>
      </c>
      <c r="E534" s="11">
        <v>7724.85</v>
      </c>
      <c r="F534" s="14">
        <f t="shared" si="55"/>
        <v>0.14856623586429726</v>
      </c>
      <c r="G534" s="14">
        <f t="shared" si="56"/>
        <v>4.8874442440922469E-2</v>
      </c>
      <c r="H534" s="20"/>
    </row>
    <row r="535" spans="1:9" ht="14.25" customHeight="1" outlineLevel="3" x14ac:dyDescent="0.25">
      <c r="A535" s="69" t="s">
        <v>15</v>
      </c>
      <c r="B535" s="11">
        <v>515954</v>
      </c>
      <c r="C535" s="11">
        <v>185704</v>
      </c>
      <c r="D535" s="11">
        <v>165244.34</v>
      </c>
      <c r="E535" s="11">
        <v>165244.34</v>
      </c>
      <c r="F535" s="14">
        <f t="shared" si="55"/>
        <v>0.88982649808297076</v>
      </c>
      <c r="G535" s="14">
        <f t="shared" si="56"/>
        <v>0.32026952015102123</v>
      </c>
      <c r="H535" s="20"/>
      <c r="I535" s="20"/>
    </row>
    <row r="536" spans="1:9" ht="14.25" customHeight="1" outlineLevel="3" x14ac:dyDescent="0.25">
      <c r="A536" s="69" t="s">
        <v>26</v>
      </c>
      <c r="B536" s="11">
        <v>21734</v>
      </c>
      <c r="C536" s="11">
        <v>6687</v>
      </c>
      <c r="D536" s="11">
        <v>4381.76</v>
      </c>
      <c r="E536" s="11">
        <v>4381.76</v>
      </c>
      <c r="F536" s="14">
        <f t="shared" si="55"/>
        <v>0.65526544040675938</v>
      </c>
      <c r="G536" s="14">
        <f t="shared" si="56"/>
        <v>0.20160853961534922</v>
      </c>
      <c r="H536" s="20"/>
    </row>
    <row r="537" spans="1:9" ht="25.5" customHeight="1" outlineLevel="3" x14ac:dyDescent="0.25">
      <c r="A537" s="69" t="s">
        <v>56</v>
      </c>
      <c r="B537" s="11">
        <v>366500</v>
      </c>
      <c r="C537" s="11">
        <v>119000</v>
      </c>
      <c r="D537" s="11">
        <v>93000</v>
      </c>
      <c r="E537" s="11">
        <v>93000</v>
      </c>
      <c r="F537" s="14">
        <f t="shared" si="55"/>
        <v>0.78151260504201681</v>
      </c>
      <c r="G537" s="14">
        <f t="shared" si="56"/>
        <v>0.25375170532060026</v>
      </c>
      <c r="H537" s="20"/>
    </row>
    <row r="538" spans="1:9" s="17" customFormat="1" ht="13.5" customHeight="1" outlineLevel="2" x14ac:dyDescent="0.2">
      <c r="A538" s="83" t="s">
        <v>51</v>
      </c>
      <c r="B538" s="9">
        <f>SUM(B539:B548)</f>
        <v>19156129</v>
      </c>
      <c r="C538" s="9">
        <f t="shared" ref="C538:E538" si="58">SUM(C539:C548)</f>
        <v>6356102</v>
      </c>
      <c r="D538" s="9">
        <f t="shared" si="58"/>
        <v>6147418.9900000002</v>
      </c>
      <c r="E538" s="9">
        <f t="shared" si="58"/>
        <v>6147418.9900000002</v>
      </c>
      <c r="F538" s="16">
        <f t="shared" si="55"/>
        <v>0.96716808352037154</v>
      </c>
      <c r="G538" s="16">
        <f t="shared" si="56"/>
        <v>0.32091133808923505</v>
      </c>
    </row>
    <row r="539" spans="1:9" ht="14.25" customHeight="1" outlineLevel="3" x14ac:dyDescent="0.25">
      <c r="A539" s="69" t="s">
        <v>9</v>
      </c>
      <c r="B539" s="11">
        <v>14230943</v>
      </c>
      <c r="C539" s="11">
        <v>4593644</v>
      </c>
      <c r="D539" s="11">
        <v>4551763.99</v>
      </c>
      <c r="E539" s="11">
        <v>4551763.99</v>
      </c>
      <c r="F539" s="14">
        <f t="shared" si="55"/>
        <v>0.99088305275724464</v>
      </c>
      <c r="G539" s="14">
        <f t="shared" si="56"/>
        <v>0.31984978015863041</v>
      </c>
    </row>
    <row r="540" spans="1:9" ht="14.25" customHeight="1" outlineLevel="3" x14ac:dyDescent="0.25">
      <c r="A540" s="69" t="s">
        <v>10</v>
      </c>
      <c r="B540" s="11">
        <v>3130807</v>
      </c>
      <c r="C540" s="11">
        <v>1010602</v>
      </c>
      <c r="D540" s="11">
        <v>1000305.1</v>
      </c>
      <c r="E540" s="11">
        <v>1000305.1</v>
      </c>
      <c r="F540" s="14">
        <f t="shared" si="55"/>
        <v>0.98981112247947256</v>
      </c>
      <c r="G540" s="14">
        <f t="shared" si="56"/>
        <v>0.31950391704119735</v>
      </c>
    </row>
    <row r="541" spans="1:9" ht="14.25" customHeight="1" outlineLevel="3" x14ac:dyDescent="0.25">
      <c r="A541" s="69" t="s">
        <v>11</v>
      </c>
      <c r="B541" s="11">
        <v>186200</v>
      </c>
      <c r="C541" s="11">
        <v>46550</v>
      </c>
      <c r="D541" s="11">
        <v>46256.84</v>
      </c>
      <c r="E541" s="11">
        <v>46256.84</v>
      </c>
      <c r="F541" s="14">
        <f t="shared" si="55"/>
        <v>0.99370225563909764</v>
      </c>
      <c r="G541" s="14">
        <f t="shared" si="56"/>
        <v>0.24842556390977441</v>
      </c>
    </row>
    <row r="542" spans="1:9" ht="14.25" customHeight="1" outlineLevel="3" x14ac:dyDescent="0.25">
      <c r="A542" s="69" t="s">
        <v>12</v>
      </c>
      <c r="B542" s="11">
        <v>413800</v>
      </c>
      <c r="C542" s="11">
        <v>137936</v>
      </c>
      <c r="D542" s="11">
        <v>103501.93</v>
      </c>
      <c r="E542" s="11">
        <v>103501.93</v>
      </c>
      <c r="F542" s="14">
        <f t="shared" si="55"/>
        <v>0.75036197946873906</v>
      </c>
      <c r="G542" s="14">
        <f t="shared" si="56"/>
        <v>0.25012549540840984</v>
      </c>
    </row>
    <row r="543" spans="1:9" ht="14.25" customHeight="1" outlineLevel="3" x14ac:dyDescent="0.25">
      <c r="A543" s="69" t="s">
        <v>21</v>
      </c>
      <c r="B543" s="11">
        <v>490000</v>
      </c>
      <c r="C543" s="11">
        <v>196000</v>
      </c>
      <c r="D543" s="11">
        <v>165471.13</v>
      </c>
      <c r="E543" s="11">
        <v>165471.13</v>
      </c>
      <c r="F543" s="14">
        <f t="shared" si="55"/>
        <v>0.84424045918367352</v>
      </c>
      <c r="G543" s="14">
        <f t="shared" si="56"/>
        <v>0.33769618367346937</v>
      </c>
    </row>
    <row r="544" spans="1:9" ht="14.25" customHeight="1" outlineLevel="3" x14ac:dyDescent="0.25">
      <c r="A544" s="69" t="s">
        <v>13</v>
      </c>
      <c r="B544" s="11">
        <v>408450</v>
      </c>
      <c r="C544" s="11">
        <v>236121</v>
      </c>
      <c r="D544" s="11">
        <v>160650.48000000001</v>
      </c>
      <c r="E544" s="11">
        <v>160650.48000000001</v>
      </c>
      <c r="F544" s="14">
        <f t="shared" si="55"/>
        <v>0.68037353729655559</v>
      </c>
      <c r="G544" s="14">
        <f t="shared" si="56"/>
        <v>0.39331737054719063</v>
      </c>
    </row>
    <row r="545" spans="1:7" ht="14.25" customHeight="1" outlineLevel="3" x14ac:dyDescent="0.25">
      <c r="A545" s="69" t="s">
        <v>14</v>
      </c>
      <c r="B545" s="11">
        <v>32834</v>
      </c>
      <c r="C545" s="11">
        <v>10946</v>
      </c>
      <c r="D545" s="11">
        <v>3224.48</v>
      </c>
      <c r="E545" s="11">
        <v>3224.48</v>
      </c>
      <c r="F545" s="14">
        <f t="shared" si="55"/>
        <v>0.29458066873743832</v>
      </c>
      <c r="G545" s="14">
        <f t="shared" si="56"/>
        <v>9.8205518669671685E-2</v>
      </c>
    </row>
    <row r="546" spans="1:7" ht="14.25" customHeight="1" outlineLevel="3" x14ac:dyDescent="0.25">
      <c r="A546" s="69" t="s">
        <v>15</v>
      </c>
      <c r="B546" s="11">
        <v>191095</v>
      </c>
      <c r="C546" s="11">
        <v>70303</v>
      </c>
      <c r="D546" s="11">
        <v>70283.039999999994</v>
      </c>
      <c r="E546" s="11">
        <v>70283.039999999994</v>
      </c>
      <c r="F546" s="14">
        <f t="shared" si="55"/>
        <v>0.99971608608451978</v>
      </c>
      <c r="G546" s="14">
        <f t="shared" si="56"/>
        <v>0.36779109866820164</v>
      </c>
    </row>
    <row r="547" spans="1:7" ht="14.25" customHeight="1" outlineLevel="3" x14ac:dyDescent="0.25">
      <c r="A547" s="69" t="s">
        <v>26</v>
      </c>
      <c r="B547" s="11">
        <v>27000</v>
      </c>
      <c r="C547" s="11">
        <v>9000</v>
      </c>
      <c r="D547" s="11">
        <v>4124</v>
      </c>
      <c r="E547" s="11">
        <v>4124</v>
      </c>
      <c r="F547" s="14">
        <f t="shared" si="55"/>
        <v>0.4582222222222222</v>
      </c>
      <c r="G547" s="14">
        <f t="shared" si="56"/>
        <v>0.15274074074074073</v>
      </c>
    </row>
    <row r="548" spans="1:7" ht="28.5" customHeight="1" outlineLevel="3" x14ac:dyDescent="0.25">
      <c r="A548" s="69" t="s">
        <v>56</v>
      </c>
      <c r="B548" s="11">
        <v>45000</v>
      </c>
      <c r="C548" s="11">
        <v>45000</v>
      </c>
      <c r="D548" s="11">
        <v>41838</v>
      </c>
      <c r="E548" s="11">
        <v>41838</v>
      </c>
      <c r="F548" s="14">
        <f t="shared" si="55"/>
        <v>0.9297333333333333</v>
      </c>
      <c r="G548" s="14">
        <f t="shared" si="56"/>
        <v>0.9297333333333333</v>
      </c>
    </row>
    <row r="549" spans="1:7" s="17" customFormat="1" ht="17.25" customHeight="1" outlineLevel="2" x14ac:dyDescent="0.2">
      <c r="A549" s="83" t="s">
        <v>98</v>
      </c>
      <c r="B549" s="9">
        <f>SUM(B550:B560)</f>
        <v>11496447</v>
      </c>
      <c r="C549" s="9">
        <f t="shared" ref="C549:E549" si="59">SUM(C550:C560)</f>
        <v>3560064</v>
      </c>
      <c r="D549" s="9">
        <f t="shared" si="59"/>
        <v>3233147.51</v>
      </c>
      <c r="E549" s="9">
        <f t="shared" si="59"/>
        <v>3233147.51</v>
      </c>
      <c r="F549" s="16">
        <f t="shared" si="55"/>
        <v>0.90817117613615927</v>
      </c>
      <c r="G549" s="16">
        <f t="shared" si="56"/>
        <v>0.28123014962796766</v>
      </c>
    </row>
    <row r="550" spans="1:7" ht="13.5" customHeight="1" outlineLevel="3" x14ac:dyDescent="0.25">
      <c r="A550" s="69" t="s">
        <v>9</v>
      </c>
      <c r="B550" s="11">
        <v>8357738</v>
      </c>
      <c r="C550" s="11">
        <v>2480000</v>
      </c>
      <c r="D550" s="11">
        <v>2451933.4</v>
      </c>
      <c r="E550" s="11">
        <v>2451933.4</v>
      </c>
      <c r="F550" s="14">
        <f t="shared" si="55"/>
        <v>0.9886828225806451</v>
      </c>
      <c r="G550" s="14">
        <f t="shared" si="56"/>
        <v>0.2933728480122253</v>
      </c>
    </row>
    <row r="551" spans="1:7" ht="13.5" customHeight="1" outlineLevel="3" x14ac:dyDescent="0.25">
      <c r="A551" s="69" t="s">
        <v>10</v>
      </c>
      <c r="B551" s="11">
        <v>1838703</v>
      </c>
      <c r="C551" s="11">
        <v>545600</v>
      </c>
      <c r="D551" s="11">
        <v>538331.98</v>
      </c>
      <c r="E551" s="11">
        <v>538331.98</v>
      </c>
      <c r="F551" s="14">
        <f t="shared" si="55"/>
        <v>0.98667884897360703</v>
      </c>
      <c r="G551" s="14">
        <f t="shared" si="56"/>
        <v>0.29277810500118834</v>
      </c>
    </row>
    <row r="552" spans="1:7" ht="13.5" customHeight="1" outlineLevel="3" x14ac:dyDescent="0.25">
      <c r="A552" s="69" t="s">
        <v>11</v>
      </c>
      <c r="B552" s="11">
        <v>40300</v>
      </c>
      <c r="C552" s="11">
        <v>20000</v>
      </c>
      <c r="D552" s="12"/>
      <c r="E552" s="12"/>
      <c r="F552" s="14">
        <f t="shared" si="55"/>
        <v>0</v>
      </c>
      <c r="G552" s="14">
        <f t="shared" si="56"/>
        <v>0</v>
      </c>
    </row>
    <row r="553" spans="1:7" ht="13.5" customHeight="1" outlineLevel="3" x14ac:dyDescent="0.25">
      <c r="A553" s="69" t="s">
        <v>12</v>
      </c>
      <c r="B553" s="11">
        <v>527800</v>
      </c>
      <c r="C553" s="11">
        <v>140000</v>
      </c>
      <c r="D553" s="11">
        <v>107947.48</v>
      </c>
      <c r="E553" s="11">
        <v>107947.48</v>
      </c>
      <c r="F553" s="14">
        <f t="shared" si="55"/>
        <v>0.77105342857142856</v>
      </c>
      <c r="G553" s="14">
        <f t="shared" si="56"/>
        <v>0.20452345585449033</v>
      </c>
    </row>
    <row r="554" spans="1:7" ht="13.5" customHeight="1" outlineLevel="3" x14ac:dyDescent="0.25">
      <c r="A554" s="69" t="s">
        <v>21</v>
      </c>
      <c r="B554" s="11">
        <v>150000</v>
      </c>
      <c r="C554" s="11">
        <v>90000</v>
      </c>
      <c r="D554" s="11">
        <v>64895.33</v>
      </c>
      <c r="E554" s="11">
        <v>64895.33</v>
      </c>
      <c r="F554" s="14">
        <f t="shared" si="55"/>
        <v>0.7210592222222223</v>
      </c>
      <c r="G554" s="14">
        <f t="shared" si="56"/>
        <v>0.43263553333333332</v>
      </c>
    </row>
    <row r="555" spans="1:7" ht="13.5" customHeight="1" outlineLevel="3" x14ac:dyDescent="0.25">
      <c r="A555" s="69" t="s">
        <v>13</v>
      </c>
      <c r="B555" s="11">
        <v>195735</v>
      </c>
      <c r="C555" s="11">
        <v>82000</v>
      </c>
      <c r="D555" s="11">
        <v>23779</v>
      </c>
      <c r="E555" s="11">
        <v>23779</v>
      </c>
      <c r="F555" s="14">
        <f t="shared" si="55"/>
        <v>0.28998780487804876</v>
      </c>
      <c r="G555" s="14">
        <f t="shared" si="56"/>
        <v>0.12148568217232483</v>
      </c>
    </row>
    <row r="556" spans="1:7" ht="13.5" customHeight="1" outlineLevel="3" x14ac:dyDescent="0.25">
      <c r="A556" s="69" t="s">
        <v>14</v>
      </c>
      <c r="B556" s="11">
        <v>68109</v>
      </c>
      <c r="C556" s="11">
        <v>25600</v>
      </c>
      <c r="D556" s="11">
        <v>4315.34</v>
      </c>
      <c r="E556" s="11">
        <v>4315.34</v>
      </c>
      <c r="F556" s="14">
        <f t="shared" si="55"/>
        <v>0.16856796875000002</v>
      </c>
      <c r="G556" s="14">
        <f t="shared" si="56"/>
        <v>6.3359321088255594E-2</v>
      </c>
    </row>
    <row r="557" spans="1:7" ht="13.5" customHeight="1" outlineLevel="3" x14ac:dyDescent="0.25">
      <c r="A557" s="69" t="s">
        <v>15</v>
      </c>
      <c r="B557" s="11">
        <v>221970</v>
      </c>
      <c r="C557" s="11">
        <v>87188</v>
      </c>
      <c r="D557" s="11">
        <v>41944.98</v>
      </c>
      <c r="E557" s="11">
        <v>41944.98</v>
      </c>
      <c r="F557" s="14">
        <f t="shared" si="55"/>
        <v>0.48108661742441622</v>
      </c>
      <c r="G557" s="14">
        <f t="shared" si="56"/>
        <v>0.18896688741721857</v>
      </c>
    </row>
    <row r="558" spans="1:7" ht="13.5" customHeight="1" outlineLevel="3" x14ac:dyDescent="0.25">
      <c r="A558" s="69" t="s">
        <v>26</v>
      </c>
      <c r="B558" s="11">
        <v>10692</v>
      </c>
      <c r="C558" s="11">
        <v>4276</v>
      </c>
      <c r="D558" s="12"/>
      <c r="E558" s="12"/>
      <c r="F558" s="14">
        <f t="shared" ref="F558:F574" si="60">D558/C558</f>
        <v>0</v>
      </c>
      <c r="G558" s="14">
        <f t="shared" ref="G558:G574" si="61">D558/B558</f>
        <v>0</v>
      </c>
    </row>
    <row r="559" spans="1:7" ht="25.5" customHeight="1" outlineLevel="3" x14ac:dyDescent="0.25">
      <c r="A559" s="69" t="s">
        <v>16</v>
      </c>
      <c r="B559" s="11">
        <v>11900</v>
      </c>
      <c r="C559" s="11">
        <v>11900</v>
      </c>
      <c r="D559" s="12"/>
      <c r="E559" s="12"/>
      <c r="F559" s="14">
        <f t="shared" si="60"/>
        <v>0</v>
      </c>
      <c r="G559" s="14">
        <f t="shared" si="61"/>
        <v>0</v>
      </c>
    </row>
    <row r="560" spans="1:7" ht="24" customHeight="1" outlineLevel="3" x14ac:dyDescent="0.25">
      <c r="A560" s="69" t="s">
        <v>56</v>
      </c>
      <c r="B560" s="11">
        <v>73500</v>
      </c>
      <c r="C560" s="11">
        <v>73500</v>
      </c>
      <c r="D560" s="12"/>
      <c r="E560" s="12"/>
      <c r="F560" s="14">
        <f t="shared" si="60"/>
        <v>0</v>
      </c>
      <c r="G560" s="14">
        <f t="shared" si="61"/>
        <v>0</v>
      </c>
    </row>
    <row r="561" spans="1:7" s="17" customFormat="1" ht="16.5" customHeight="1" outlineLevel="2" x14ac:dyDescent="0.2">
      <c r="A561" s="83" t="s">
        <v>52</v>
      </c>
      <c r="B561" s="9">
        <f>SUM(B562:B571)</f>
        <v>14771896</v>
      </c>
      <c r="C561" s="9">
        <f t="shared" ref="C561:E561" si="62">SUM(C562:C571)</f>
        <v>4714676</v>
      </c>
      <c r="D561" s="9">
        <f t="shared" si="62"/>
        <v>4161011.6200000006</v>
      </c>
      <c r="E561" s="9">
        <f t="shared" si="62"/>
        <v>4161011.6200000006</v>
      </c>
      <c r="F561" s="16">
        <f t="shared" si="60"/>
        <v>0.88256576273746079</v>
      </c>
      <c r="G561" s="16">
        <f t="shared" si="61"/>
        <v>0.2816843294862082</v>
      </c>
    </row>
    <row r="562" spans="1:7" ht="13.5" customHeight="1" outlineLevel="3" x14ac:dyDescent="0.25">
      <c r="A562" s="69" t="s">
        <v>9</v>
      </c>
      <c r="B562" s="11">
        <v>10287124</v>
      </c>
      <c r="C562" s="11">
        <v>3080000</v>
      </c>
      <c r="D562" s="11">
        <v>3041324.37</v>
      </c>
      <c r="E562" s="11">
        <v>3041324.37</v>
      </c>
      <c r="F562" s="14">
        <f t="shared" si="60"/>
        <v>0.98744297727272734</v>
      </c>
      <c r="G562" s="14">
        <f t="shared" si="61"/>
        <v>0.29564379412554959</v>
      </c>
    </row>
    <row r="563" spans="1:7" ht="13.5" customHeight="1" outlineLevel="3" x14ac:dyDescent="0.25">
      <c r="A563" s="69" t="s">
        <v>10</v>
      </c>
      <c r="B563" s="11">
        <v>2263167</v>
      </c>
      <c r="C563" s="11">
        <v>677600</v>
      </c>
      <c r="D563" s="11">
        <v>651809.35</v>
      </c>
      <c r="E563" s="11">
        <v>651809.35</v>
      </c>
      <c r="F563" s="14">
        <f t="shared" si="60"/>
        <v>0.96193823789846511</v>
      </c>
      <c r="G563" s="14">
        <f t="shared" si="61"/>
        <v>0.2880076238297925</v>
      </c>
    </row>
    <row r="564" spans="1:7" ht="13.5" customHeight="1" outlineLevel="3" x14ac:dyDescent="0.25">
      <c r="A564" s="69" t="s">
        <v>11</v>
      </c>
      <c r="B564" s="11">
        <v>130000</v>
      </c>
      <c r="C564" s="11">
        <v>14000</v>
      </c>
      <c r="D564" s="12"/>
      <c r="E564" s="12"/>
      <c r="F564" s="14">
        <f t="shared" si="60"/>
        <v>0</v>
      </c>
      <c r="G564" s="14">
        <f t="shared" si="61"/>
        <v>0</v>
      </c>
    </row>
    <row r="565" spans="1:7" ht="13.5" customHeight="1" outlineLevel="3" x14ac:dyDescent="0.25">
      <c r="A565" s="69" t="s">
        <v>12</v>
      </c>
      <c r="B565" s="11">
        <v>320000</v>
      </c>
      <c r="C565" s="11">
        <v>100000</v>
      </c>
      <c r="D565" s="11">
        <v>60629.45</v>
      </c>
      <c r="E565" s="11">
        <v>60629.45</v>
      </c>
      <c r="F565" s="14">
        <f t="shared" si="60"/>
        <v>0.60629449999999996</v>
      </c>
      <c r="G565" s="14">
        <f t="shared" si="61"/>
        <v>0.18946703125</v>
      </c>
    </row>
    <row r="566" spans="1:7" ht="13.5" customHeight="1" outlineLevel="3" x14ac:dyDescent="0.25">
      <c r="A566" s="69" t="s">
        <v>21</v>
      </c>
      <c r="B566" s="11">
        <v>500000</v>
      </c>
      <c r="C566" s="11">
        <v>205000</v>
      </c>
      <c r="D566" s="11">
        <v>46970.11</v>
      </c>
      <c r="E566" s="11">
        <v>46970.11</v>
      </c>
      <c r="F566" s="14">
        <f t="shared" si="60"/>
        <v>0.22912248780487804</v>
      </c>
      <c r="G566" s="14">
        <f t="shared" si="61"/>
        <v>9.3940220000000005E-2</v>
      </c>
    </row>
    <row r="567" spans="1:7" ht="13.5" customHeight="1" outlineLevel="3" x14ac:dyDescent="0.25">
      <c r="A567" s="69" t="s">
        <v>13</v>
      </c>
      <c r="B567" s="11">
        <v>822713</v>
      </c>
      <c r="C567" s="11">
        <v>478913</v>
      </c>
      <c r="D567" s="11">
        <v>283583.19</v>
      </c>
      <c r="E567" s="11">
        <v>283583.19</v>
      </c>
      <c r="F567" s="14">
        <f t="shared" si="60"/>
        <v>0.59213926120193017</v>
      </c>
      <c r="G567" s="14">
        <f t="shared" si="61"/>
        <v>0.3446927300285762</v>
      </c>
    </row>
    <row r="568" spans="1:7" ht="13.5" customHeight="1" outlineLevel="3" x14ac:dyDescent="0.25">
      <c r="A568" s="69" t="s">
        <v>14</v>
      </c>
      <c r="B568" s="11">
        <v>94589</v>
      </c>
      <c r="C568" s="11">
        <v>34396</v>
      </c>
      <c r="D568" s="11">
        <v>6848.14</v>
      </c>
      <c r="E568" s="11">
        <v>6848.14</v>
      </c>
      <c r="F568" s="14">
        <f t="shared" si="60"/>
        <v>0.19909698802186301</v>
      </c>
      <c r="G568" s="14">
        <f t="shared" si="61"/>
        <v>7.239890473522291E-2</v>
      </c>
    </row>
    <row r="569" spans="1:7" ht="13.5" customHeight="1" outlineLevel="3" x14ac:dyDescent="0.25">
      <c r="A569" s="69" t="s">
        <v>15</v>
      </c>
      <c r="B569" s="11">
        <v>338655</v>
      </c>
      <c r="C569" s="11">
        <f>125884-6600</f>
        <v>119284</v>
      </c>
      <c r="D569" s="11">
        <v>69398.7</v>
      </c>
      <c r="E569" s="11">
        <v>69398.7</v>
      </c>
      <c r="F569" s="14">
        <f t="shared" si="60"/>
        <v>0.58179387009154615</v>
      </c>
      <c r="G569" s="14">
        <f t="shared" si="61"/>
        <v>0.20492448066616467</v>
      </c>
    </row>
    <row r="570" spans="1:7" ht="13.5" customHeight="1" outlineLevel="3" x14ac:dyDescent="0.25">
      <c r="A570" s="69" t="s">
        <v>32</v>
      </c>
      <c r="B570" s="11">
        <v>1060</v>
      </c>
      <c r="C570" s="13">
        <v>619</v>
      </c>
      <c r="D570" s="13">
        <v>448.31</v>
      </c>
      <c r="E570" s="13">
        <v>448.31</v>
      </c>
      <c r="F570" s="14">
        <f t="shared" si="60"/>
        <v>0.72424878836833606</v>
      </c>
      <c r="G570" s="14">
        <f t="shared" si="61"/>
        <v>0.42293396226415092</v>
      </c>
    </row>
    <row r="571" spans="1:7" ht="13.5" customHeight="1" outlineLevel="3" x14ac:dyDescent="0.25">
      <c r="A571" s="69" t="s">
        <v>26</v>
      </c>
      <c r="B571" s="11">
        <v>14588</v>
      </c>
      <c r="C571" s="11">
        <v>4864</v>
      </c>
      <c r="D571" s="12"/>
      <c r="E571" s="12"/>
      <c r="F571" s="14">
        <f t="shared" si="60"/>
        <v>0</v>
      </c>
      <c r="G571" s="14">
        <f t="shared" si="61"/>
        <v>0</v>
      </c>
    </row>
    <row r="572" spans="1:7" ht="39.75" customHeight="1" outlineLevel="1" x14ac:dyDescent="0.25">
      <c r="A572" s="70" t="s">
        <v>125</v>
      </c>
      <c r="B572" s="22">
        <v>120000</v>
      </c>
      <c r="C572" s="22">
        <v>120000</v>
      </c>
      <c r="D572" s="22">
        <v>45958</v>
      </c>
      <c r="E572" s="22">
        <v>45958</v>
      </c>
      <c r="F572" s="23">
        <f t="shared" si="60"/>
        <v>0.38298333333333334</v>
      </c>
      <c r="G572" s="23">
        <f t="shared" si="61"/>
        <v>0.38298333333333334</v>
      </c>
    </row>
    <row r="573" spans="1:7" s="17" customFormat="1" ht="28.5" customHeight="1" outlineLevel="2" x14ac:dyDescent="0.2">
      <c r="A573" s="83" t="s">
        <v>22</v>
      </c>
      <c r="B573" s="9">
        <v>120000</v>
      </c>
      <c r="C573" s="9">
        <v>120000</v>
      </c>
      <c r="D573" s="9">
        <v>45958</v>
      </c>
      <c r="E573" s="9">
        <v>45958</v>
      </c>
      <c r="F573" s="16">
        <f t="shared" si="60"/>
        <v>0.38298333333333334</v>
      </c>
      <c r="G573" s="16">
        <f t="shared" si="61"/>
        <v>0.38298333333333334</v>
      </c>
    </row>
    <row r="574" spans="1:7" ht="15.75" customHeight="1" outlineLevel="3" x14ac:dyDescent="0.25">
      <c r="A574" s="69" t="s">
        <v>11</v>
      </c>
      <c r="B574" s="11">
        <v>120000</v>
      </c>
      <c r="C574" s="11">
        <v>120000</v>
      </c>
      <c r="D574" s="11">
        <v>45958</v>
      </c>
      <c r="E574" s="11">
        <v>45958</v>
      </c>
      <c r="F574" s="14">
        <f t="shared" si="60"/>
        <v>0.38298333333333334</v>
      </c>
      <c r="G574" s="14">
        <f t="shared" si="61"/>
        <v>0.38298333333333334</v>
      </c>
    </row>
    <row r="575" spans="1:7" ht="23.25" customHeight="1" outlineLevel="3" x14ac:dyDescent="0.25">
      <c r="A575" s="24" t="s">
        <v>53</v>
      </c>
      <c r="B575" s="25">
        <f>B576+B579</f>
        <v>88613338</v>
      </c>
      <c r="C575" s="25">
        <f t="shared" ref="C575:E575" si="63">C576+C579</f>
        <v>86660549</v>
      </c>
      <c r="D575" s="25">
        <f t="shared" si="63"/>
        <v>553302.72</v>
      </c>
      <c r="E575" s="25">
        <f t="shared" si="63"/>
        <v>177288</v>
      </c>
      <c r="F575" s="26">
        <f t="shared" ref="F575" si="64">D575/C575</f>
        <v>6.3847128409029574E-3</v>
      </c>
      <c r="G575" s="26">
        <f t="shared" ref="G575" si="65">D575/B575</f>
        <v>6.244011708485691E-3</v>
      </c>
    </row>
    <row r="576" spans="1:7" ht="28.5" customHeight="1" outlineLevel="1" x14ac:dyDescent="0.25">
      <c r="A576" s="70" t="s">
        <v>91</v>
      </c>
      <c r="B576" s="22">
        <v>2929181</v>
      </c>
      <c r="C576" s="22">
        <v>976392</v>
      </c>
      <c r="D576" s="38"/>
      <c r="E576" s="38"/>
      <c r="F576" s="23">
        <f t="shared" ref="F576:F581" si="66">D576/C576</f>
        <v>0</v>
      </c>
      <c r="G576" s="23">
        <f t="shared" ref="G576:G603" si="67">D576/B576</f>
        <v>0</v>
      </c>
    </row>
    <row r="577" spans="1:7" s="17" customFormat="1" ht="39.75" customHeight="1" outlineLevel="2" x14ac:dyDescent="0.2">
      <c r="A577" s="83" t="s">
        <v>54</v>
      </c>
      <c r="B577" s="9">
        <v>2929181</v>
      </c>
      <c r="C577" s="9">
        <v>976392</v>
      </c>
      <c r="D577" s="80"/>
      <c r="E577" s="80"/>
      <c r="F577" s="16">
        <f t="shared" si="66"/>
        <v>0</v>
      </c>
      <c r="G577" s="16">
        <f t="shared" si="67"/>
        <v>0</v>
      </c>
    </row>
    <row r="578" spans="1:7" ht="29.25" customHeight="1" outlineLevel="3" x14ac:dyDescent="0.25">
      <c r="A578" s="69" t="s">
        <v>37</v>
      </c>
      <c r="B578" s="11">
        <v>2929181</v>
      </c>
      <c r="C578" s="11">
        <v>976392</v>
      </c>
      <c r="D578" s="12"/>
      <c r="E578" s="12"/>
      <c r="F578" s="14">
        <f t="shared" si="66"/>
        <v>0</v>
      </c>
      <c r="G578" s="14">
        <f t="shared" si="67"/>
        <v>0</v>
      </c>
    </row>
    <row r="579" spans="1:7" ht="42.75" customHeight="1" outlineLevel="1" x14ac:dyDescent="0.25">
      <c r="A579" s="70" t="s">
        <v>117</v>
      </c>
      <c r="B579" s="22">
        <v>85684157</v>
      </c>
      <c r="C579" s="22">
        <v>85684157</v>
      </c>
      <c r="D579" s="22">
        <v>553302.72</v>
      </c>
      <c r="E579" s="22">
        <v>177288</v>
      </c>
      <c r="F579" s="23">
        <f t="shared" si="66"/>
        <v>6.4574682108385567E-3</v>
      </c>
      <c r="G579" s="23">
        <f t="shared" si="67"/>
        <v>6.4574682108385567E-3</v>
      </c>
    </row>
    <row r="580" spans="1:7" s="17" customFormat="1" ht="16.5" customHeight="1" outlineLevel="2" x14ac:dyDescent="0.2">
      <c r="A580" s="83" t="s">
        <v>94</v>
      </c>
      <c r="B580" s="9">
        <v>3500000</v>
      </c>
      <c r="C580" s="9">
        <v>3500000</v>
      </c>
      <c r="D580" s="80"/>
      <c r="E580" s="80"/>
      <c r="F580" s="16">
        <f t="shared" si="66"/>
        <v>0</v>
      </c>
      <c r="G580" s="16">
        <f t="shared" si="67"/>
        <v>0</v>
      </c>
    </row>
    <row r="581" spans="1:7" ht="24" customHeight="1" outlineLevel="3" x14ac:dyDescent="0.25">
      <c r="A581" s="69" t="s">
        <v>59</v>
      </c>
      <c r="B581" s="11">
        <v>3500000</v>
      </c>
      <c r="C581" s="11">
        <v>3500000</v>
      </c>
      <c r="D581" s="12"/>
      <c r="E581" s="12"/>
      <c r="F581" s="14">
        <f t="shared" si="66"/>
        <v>0</v>
      </c>
      <c r="G581" s="14">
        <f t="shared" si="67"/>
        <v>0</v>
      </c>
    </row>
    <row r="582" spans="1:7" s="17" customFormat="1" ht="25.5" customHeight="1" outlineLevel="2" x14ac:dyDescent="0.2">
      <c r="A582" s="83" t="s">
        <v>135</v>
      </c>
      <c r="B582" s="9">
        <v>200000</v>
      </c>
      <c r="C582" s="80"/>
      <c r="D582" s="80"/>
      <c r="E582" s="80"/>
      <c r="F582" s="16">
        <v>0</v>
      </c>
      <c r="G582" s="16">
        <f t="shared" si="67"/>
        <v>0</v>
      </c>
    </row>
    <row r="583" spans="1:7" ht="25.5" customHeight="1" outlineLevel="3" x14ac:dyDescent="0.25">
      <c r="A583" s="69" t="s">
        <v>59</v>
      </c>
      <c r="B583" s="11">
        <v>200000</v>
      </c>
      <c r="C583" s="12"/>
      <c r="D583" s="12"/>
      <c r="E583" s="12"/>
      <c r="F583" s="14">
        <v>0</v>
      </c>
      <c r="G583" s="14">
        <f t="shared" si="67"/>
        <v>0</v>
      </c>
    </row>
    <row r="584" spans="1:7" s="17" customFormat="1" ht="25.5" customHeight="1" outlineLevel="2" x14ac:dyDescent="0.2">
      <c r="A584" s="83" t="s">
        <v>118</v>
      </c>
      <c r="B584" s="9">
        <v>165157</v>
      </c>
      <c r="C584" s="9">
        <v>165157</v>
      </c>
      <c r="D584" s="80"/>
      <c r="E584" s="80"/>
      <c r="F584" s="16">
        <f t="shared" ref="F584:F600" si="68">D584/C584</f>
        <v>0</v>
      </c>
      <c r="G584" s="16">
        <f t="shared" si="67"/>
        <v>0</v>
      </c>
    </row>
    <row r="585" spans="1:7" ht="25.5" customHeight="1" outlineLevel="3" x14ac:dyDescent="0.25">
      <c r="A585" s="69" t="s">
        <v>59</v>
      </c>
      <c r="B585" s="11">
        <v>165157</v>
      </c>
      <c r="C585" s="11">
        <v>165157</v>
      </c>
      <c r="D585" s="12"/>
      <c r="E585" s="12"/>
      <c r="F585" s="14">
        <f t="shared" si="68"/>
        <v>0</v>
      </c>
      <c r="G585" s="14">
        <f t="shared" si="67"/>
        <v>0</v>
      </c>
    </row>
    <row r="586" spans="1:7" s="17" customFormat="1" ht="26.25" customHeight="1" outlineLevel="2" x14ac:dyDescent="0.2">
      <c r="A586" s="83" t="s">
        <v>92</v>
      </c>
      <c r="B586" s="9">
        <v>12000000</v>
      </c>
      <c r="C586" s="9">
        <v>22200000</v>
      </c>
      <c r="D586" s="80"/>
      <c r="E586" s="80"/>
      <c r="F586" s="16">
        <f t="shared" si="68"/>
        <v>0</v>
      </c>
      <c r="G586" s="16">
        <f t="shared" si="67"/>
        <v>0</v>
      </c>
    </row>
    <row r="587" spans="1:7" ht="13.5" customHeight="1" outlineLevel="3" x14ac:dyDescent="0.25">
      <c r="A587" s="69" t="s">
        <v>126</v>
      </c>
      <c r="B587" s="11">
        <v>7000000</v>
      </c>
      <c r="C587" s="11">
        <v>7000000</v>
      </c>
      <c r="D587" s="12"/>
      <c r="E587" s="12"/>
      <c r="F587" s="14">
        <f t="shared" si="68"/>
        <v>0</v>
      </c>
      <c r="G587" s="14">
        <f t="shared" si="67"/>
        <v>0</v>
      </c>
    </row>
    <row r="588" spans="1:7" ht="24.75" customHeight="1" outlineLevel="3" x14ac:dyDescent="0.25">
      <c r="A588" s="69" t="s">
        <v>59</v>
      </c>
      <c r="B588" s="11">
        <v>5000000</v>
      </c>
      <c r="C588" s="11">
        <v>15200000</v>
      </c>
      <c r="D588" s="12"/>
      <c r="E588" s="12"/>
      <c r="F588" s="14">
        <f t="shared" si="68"/>
        <v>0</v>
      </c>
      <c r="G588" s="14">
        <f t="shared" si="67"/>
        <v>0</v>
      </c>
    </row>
    <row r="589" spans="1:7" s="17" customFormat="1" ht="24.75" customHeight="1" outlineLevel="2" x14ac:dyDescent="0.2">
      <c r="A589" s="83" t="s">
        <v>127</v>
      </c>
      <c r="B589" s="9">
        <v>1000000</v>
      </c>
      <c r="C589" s="9">
        <v>1000000</v>
      </c>
      <c r="D589" s="80"/>
      <c r="E589" s="80"/>
      <c r="F589" s="16">
        <f t="shared" si="68"/>
        <v>0</v>
      </c>
      <c r="G589" s="16">
        <f t="shared" si="67"/>
        <v>0</v>
      </c>
    </row>
    <row r="590" spans="1:7" ht="24.75" customHeight="1" outlineLevel="3" x14ac:dyDescent="0.25">
      <c r="A590" s="69" t="s">
        <v>59</v>
      </c>
      <c r="B590" s="11">
        <v>1000000</v>
      </c>
      <c r="C590" s="11">
        <v>1000000</v>
      </c>
      <c r="D590" s="12"/>
      <c r="E590" s="12"/>
      <c r="F590" s="14">
        <f t="shared" si="68"/>
        <v>0</v>
      </c>
      <c r="G590" s="14">
        <f t="shared" si="67"/>
        <v>0</v>
      </c>
    </row>
    <row r="591" spans="1:7" s="17" customFormat="1" ht="36.75" customHeight="1" outlineLevel="2" x14ac:dyDescent="0.2">
      <c r="A591" s="83" t="s">
        <v>54</v>
      </c>
      <c r="B591" s="9">
        <v>12819000</v>
      </c>
      <c r="C591" s="9">
        <v>12819000</v>
      </c>
      <c r="D591" s="9">
        <v>553302.72</v>
      </c>
      <c r="E591" s="9">
        <v>177288</v>
      </c>
      <c r="F591" s="16">
        <f t="shared" si="68"/>
        <v>4.3162705359232389E-2</v>
      </c>
      <c r="G591" s="16">
        <f t="shared" si="67"/>
        <v>4.3162705359232389E-2</v>
      </c>
    </row>
    <row r="592" spans="1:7" ht="24.75" customHeight="1" outlineLevel="3" x14ac:dyDescent="0.25">
      <c r="A592" s="69" t="s">
        <v>59</v>
      </c>
      <c r="B592" s="11">
        <v>12819000</v>
      </c>
      <c r="C592" s="11">
        <v>12819000</v>
      </c>
      <c r="D592" s="11">
        <v>553302.72</v>
      </c>
      <c r="E592" s="11">
        <v>177288</v>
      </c>
      <c r="F592" s="14">
        <f t="shared" si="68"/>
        <v>4.3162705359232389E-2</v>
      </c>
      <c r="G592" s="14">
        <f t="shared" si="67"/>
        <v>4.3162705359232389E-2</v>
      </c>
    </row>
    <row r="593" spans="1:7" s="17" customFormat="1" ht="14.25" customHeight="1" outlineLevel="2" x14ac:dyDescent="0.2">
      <c r="A593" s="83" t="s">
        <v>128</v>
      </c>
      <c r="B593" s="9">
        <v>1000000</v>
      </c>
      <c r="C593" s="9">
        <v>1000000</v>
      </c>
      <c r="D593" s="80"/>
      <c r="E593" s="80"/>
      <c r="F593" s="16">
        <f t="shared" si="68"/>
        <v>0</v>
      </c>
      <c r="G593" s="16">
        <f t="shared" si="67"/>
        <v>0</v>
      </c>
    </row>
    <row r="594" spans="1:7" ht="26.25" customHeight="1" outlineLevel="3" x14ac:dyDescent="0.25">
      <c r="A594" s="69" t="s">
        <v>59</v>
      </c>
      <c r="B594" s="11">
        <v>1000000</v>
      </c>
      <c r="C594" s="11">
        <v>1000000</v>
      </c>
      <c r="D594" s="12"/>
      <c r="E594" s="12"/>
      <c r="F594" s="14">
        <f t="shared" si="68"/>
        <v>0</v>
      </c>
      <c r="G594" s="14">
        <f t="shared" si="67"/>
        <v>0</v>
      </c>
    </row>
    <row r="595" spans="1:7" s="17" customFormat="1" ht="26.25" customHeight="1" outlineLevel="2" x14ac:dyDescent="0.2">
      <c r="A595" s="83" t="s">
        <v>129</v>
      </c>
      <c r="B595" s="9">
        <v>12000000</v>
      </c>
      <c r="C595" s="9">
        <v>12000000</v>
      </c>
      <c r="D595" s="80"/>
      <c r="E595" s="80"/>
      <c r="F595" s="16">
        <f t="shared" si="68"/>
        <v>0</v>
      </c>
      <c r="G595" s="16">
        <f t="shared" si="67"/>
        <v>0</v>
      </c>
    </row>
    <row r="596" spans="1:7" ht="26.25" customHeight="1" outlineLevel="3" x14ac:dyDescent="0.25">
      <c r="A596" s="69" t="s">
        <v>59</v>
      </c>
      <c r="B596" s="11">
        <v>12000000</v>
      </c>
      <c r="C596" s="11">
        <v>12000000</v>
      </c>
      <c r="D596" s="12"/>
      <c r="E596" s="12"/>
      <c r="F596" s="14">
        <f t="shared" si="68"/>
        <v>0</v>
      </c>
      <c r="G596" s="14">
        <f t="shared" si="67"/>
        <v>0</v>
      </c>
    </row>
    <row r="597" spans="1:7" s="17" customFormat="1" ht="26.25" customHeight="1" outlineLevel="2" x14ac:dyDescent="0.2">
      <c r="A597" s="83" t="s">
        <v>130</v>
      </c>
      <c r="B597" s="9">
        <v>28000000</v>
      </c>
      <c r="C597" s="9">
        <v>28000000</v>
      </c>
      <c r="D597" s="80"/>
      <c r="E597" s="80"/>
      <c r="F597" s="16">
        <f t="shared" si="68"/>
        <v>0</v>
      </c>
      <c r="G597" s="16">
        <f t="shared" si="67"/>
        <v>0</v>
      </c>
    </row>
    <row r="598" spans="1:7" ht="26.25" customHeight="1" outlineLevel="3" x14ac:dyDescent="0.25">
      <c r="A598" s="69" t="s">
        <v>59</v>
      </c>
      <c r="B598" s="11">
        <v>28000000</v>
      </c>
      <c r="C598" s="11">
        <v>28000000</v>
      </c>
      <c r="D598" s="12"/>
      <c r="E598" s="12"/>
      <c r="F598" s="14">
        <f t="shared" si="68"/>
        <v>0</v>
      </c>
      <c r="G598" s="14">
        <f t="shared" si="67"/>
        <v>0</v>
      </c>
    </row>
    <row r="599" spans="1:7" s="17" customFormat="1" ht="26.25" customHeight="1" outlineLevel="2" x14ac:dyDescent="0.2">
      <c r="A599" s="83" t="s">
        <v>131</v>
      </c>
      <c r="B599" s="9">
        <v>5000000</v>
      </c>
      <c r="C599" s="9">
        <v>5000000</v>
      </c>
      <c r="D599" s="80"/>
      <c r="E599" s="80"/>
      <c r="F599" s="16">
        <f t="shared" si="68"/>
        <v>0</v>
      </c>
      <c r="G599" s="16">
        <f t="shared" si="67"/>
        <v>0</v>
      </c>
    </row>
    <row r="600" spans="1:7" ht="26.25" customHeight="1" outlineLevel="3" x14ac:dyDescent="0.25">
      <c r="A600" s="69" t="s">
        <v>59</v>
      </c>
      <c r="B600" s="11">
        <v>5000000</v>
      </c>
      <c r="C600" s="11">
        <v>5000000</v>
      </c>
      <c r="D600" s="12"/>
      <c r="E600" s="12"/>
      <c r="F600" s="14">
        <f t="shared" si="68"/>
        <v>0</v>
      </c>
      <c r="G600" s="14">
        <f t="shared" si="67"/>
        <v>0</v>
      </c>
    </row>
    <row r="601" spans="1:7" s="17" customFormat="1" ht="26.25" customHeight="1" outlineLevel="2" x14ac:dyDescent="0.2">
      <c r="A601" s="83" t="s">
        <v>136</v>
      </c>
      <c r="B601" s="9">
        <v>10000000</v>
      </c>
      <c r="C601" s="80"/>
      <c r="D601" s="80"/>
      <c r="E601" s="80"/>
      <c r="F601" s="16">
        <v>0</v>
      </c>
      <c r="G601" s="16">
        <f t="shared" si="67"/>
        <v>0</v>
      </c>
    </row>
    <row r="602" spans="1:7" ht="26.25" customHeight="1" outlineLevel="3" x14ac:dyDescent="0.25">
      <c r="A602" s="69" t="s">
        <v>59</v>
      </c>
      <c r="B602" s="11">
        <v>10000000</v>
      </c>
      <c r="C602" s="12"/>
      <c r="D602" s="12"/>
      <c r="E602" s="12"/>
      <c r="F602" s="14">
        <v>0</v>
      </c>
      <c r="G602" s="14">
        <f t="shared" si="67"/>
        <v>0</v>
      </c>
    </row>
    <row r="603" spans="1:7" ht="17.25" customHeight="1" x14ac:dyDescent="0.25">
      <c r="A603" s="82" t="s">
        <v>55</v>
      </c>
      <c r="B603" s="76">
        <f>B604+B611+B615+B619+B625</f>
        <v>389783116</v>
      </c>
      <c r="C603" s="76">
        <f t="shared" ref="C603:E603" si="69">C604+C611+C615+C619+C625</f>
        <v>124147206</v>
      </c>
      <c r="D603" s="76">
        <f t="shared" si="69"/>
        <v>29137127.57</v>
      </c>
      <c r="E603" s="76">
        <f t="shared" si="69"/>
        <v>17906744.260000002</v>
      </c>
      <c r="F603" s="77">
        <f>D603/C603</f>
        <v>0.23469821439235611</v>
      </c>
      <c r="G603" s="77">
        <f t="shared" si="67"/>
        <v>7.4752154144100996E-2</v>
      </c>
    </row>
    <row r="604" spans="1:7" s="27" customFormat="1" ht="21" customHeight="1" outlineLevel="3" x14ac:dyDescent="0.2">
      <c r="A604" s="24" t="s">
        <v>27</v>
      </c>
      <c r="B604" s="25">
        <f>B605</f>
        <v>201600000</v>
      </c>
      <c r="C604" s="25">
        <f t="shared" ref="C604:E604" si="70">C605</f>
        <v>71700000</v>
      </c>
      <c r="D604" s="25">
        <f t="shared" si="70"/>
        <v>29043143.57</v>
      </c>
      <c r="E604" s="25">
        <f t="shared" si="70"/>
        <v>17906744.260000002</v>
      </c>
      <c r="F604" s="26">
        <v>0</v>
      </c>
      <c r="G604" s="26">
        <f t="shared" ref="G604" si="71">D604/B604</f>
        <v>0.14406321215277779</v>
      </c>
    </row>
    <row r="605" spans="1:7" ht="42" customHeight="1" outlineLevel="1" x14ac:dyDescent="0.25">
      <c r="A605" s="70" t="s">
        <v>99</v>
      </c>
      <c r="B605" s="22">
        <v>201600000</v>
      </c>
      <c r="C605" s="22">
        <v>71700000</v>
      </c>
      <c r="D605" s="22">
        <v>29043143.57</v>
      </c>
      <c r="E605" s="22">
        <v>17906744.260000002</v>
      </c>
      <c r="F605" s="23">
        <f>D605/C605</f>
        <v>0.40506476387726637</v>
      </c>
      <c r="G605" s="23">
        <f t="shared" ref="G605:G610" si="72">D605/B605</f>
        <v>0.14406321215277779</v>
      </c>
    </row>
    <row r="606" spans="1:7" s="17" customFormat="1" ht="24.75" customHeight="1" outlineLevel="2" x14ac:dyDescent="0.2">
      <c r="A606" s="83" t="s">
        <v>23</v>
      </c>
      <c r="B606" s="9">
        <v>200600000</v>
      </c>
      <c r="C606" s="9">
        <v>71700000</v>
      </c>
      <c r="D606" s="9">
        <v>29043143.57</v>
      </c>
      <c r="E606" s="9">
        <v>17906744.260000002</v>
      </c>
      <c r="F606" s="16">
        <f>D606/C606</f>
        <v>0.40506476387726637</v>
      </c>
      <c r="G606" s="16">
        <f t="shared" si="72"/>
        <v>0.14478137372881356</v>
      </c>
    </row>
    <row r="607" spans="1:7" ht="18" customHeight="1" outlineLevel="3" x14ac:dyDescent="0.25">
      <c r="A607" s="69" t="s">
        <v>58</v>
      </c>
      <c r="B607" s="11">
        <v>70000000</v>
      </c>
      <c r="C607" s="11">
        <v>60000000</v>
      </c>
      <c r="D607" s="11">
        <v>29043143.57</v>
      </c>
      <c r="E607" s="11">
        <v>17906744.260000002</v>
      </c>
      <c r="F607" s="14">
        <f>D607/C607</f>
        <v>0.48405239283333334</v>
      </c>
      <c r="G607" s="14">
        <f t="shared" si="72"/>
        <v>0.41490205099999999</v>
      </c>
    </row>
    <row r="608" spans="1:7" ht="14.25" customHeight="1" outlineLevel="3" x14ac:dyDescent="0.25">
      <c r="A608" s="69" t="s">
        <v>57</v>
      </c>
      <c r="B608" s="11">
        <v>130600000</v>
      </c>
      <c r="C608" s="11">
        <v>11700000</v>
      </c>
      <c r="D608" s="12"/>
      <c r="E608" s="12"/>
      <c r="F608" s="14">
        <f>D608/C608</f>
        <v>0</v>
      </c>
      <c r="G608" s="14">
        <f t="shared" si="72"/>
        <v>0</v>
      </c>
    </row>
    <row r="609" spans="1:7" s="17" customFormat="1" ht="27" customHeight="1" outlineLevel="2" x14ac:dyDescent="0.2">
      <c r="A609" s="83" t="s">
        <v>25</v>
      </c>
      <c r="B609" s="9">
        <v>1000000</v>
      </c>
      <c r="C609" s="80"/>
      <c r="D609" s="80"/>
      <c r="E609" s="80"/>
      <c r="F609" s="16">
        <v>0</v>
      </c>
      <c r="G609" s="16">
        <f t="shared" si="72"/>
        <v>0</v>
      </c>
    </row>
    <row r="610" spans="1:7" ht="18" customHeight="1" outlineLevel="3" x14ac:dyDescent="0.25">
      <c r="A610" s="69" t="s">
        <v>57</v>
      </c>
      <c r="B610" s="11">
        <v>1000000</v>
      </c>
      <c r="C610" s="12"/>
      <c r="D610" s="12"/>
      <c r="E610" s="12"/>
      <c r="F610" s="14">
        <v>0</v>
      </c>
      <c r="G610" s="14">
        <f t="shared" si="72"/>
        <v>0</v>
      </c>
    </row>
    <row r="611" spans="1:7" s="27" customFormat="1" ht="17.25" customHeight="1" outlineLevel="3" x14ac:dyDescent="0.2">
      <c r="A611" s="24" t="s">
        <v>43</v>
      </c>
      <c r="B611" s="25">
        <f>B612</f>
        <v>1000000</v>
      </c>
      <c r="C611" s="25">
        <f t="shared" ref="C611:E611" si="73">C612</f>
        <v>500000</v>
      </c>
      <c r="D611" s="25">
        <f t="shared" si="73"/>
        <v>0</v>
      </c>
      <c r="E611" s="25">
        <f t="shared" si="73"/>
        <v>0</v>
      </c>
      <c r="F611" s="26">
        <v>0</v>
      </c>
      <c r="G611" s="26">
        <f t="shared" ref="G611" si="74">D611/B611</f>
        <v>0</v>
      </c>
    </row>
    <row r="612" spans="1:7" ht="51.75" customHeight="1" outlineLevel="1" x14ac:dyDescent="0.25">
      <c r="A612" s="70" t="s">
        <v>100</v>
      </c>
      <c r="B612" s="22">
        <v>1000000</v>
      </c>
      <c r="C612" s="22">
        <v>500000</v>
      </c>
      <c r="D612" s="38"/>
      <c r="E612" s="38"/>
      <c r="F612" s="23">
        <f>D612/C612</f>
        <v>0</v>
      </c>
      <c r="G612" s="23">
        <f>D612/B612</f>
        <v>0</v>
      </c>
    </row>
    <row r="613" spans="1:7" s="17" customFormat="1" ht="27.75" customHeight="1" outlineLevel="2" x14ac:dyDescent="0.2">
      <c r="A613" s="83" t="s">
        <v>24</v>
      </c>
      <c r="B613" s="9">
        <v>1000000</v>
      </c>
      <c r="C613" s="9">
        <v>500000</v>
      </c>
      <c r="D613" s="80"/>
      <c r="E613" s="80"/>
      <c r="F613" s="16">
        <f>D613/C613</f>
        <v>0</v>
      </c>
      <c r="G613" s="16">
        <f>D613/B613</f>
        <v>0</v>
      </c>
    </row>
    <row r="614" spans="1:7" ht="18.75" customHeight="1" outlineLevel="3" x14ac:dyDescent="0.25">
      <c r="A614" s="69" t="s">
        <v>58</v>
      </c>
      <c r="B614" s="11">
        <v>1000000</v>
      </c>
      <c r="C614" s="11">
        <v>500000</v>
      </c>
      <c r="D614" s="12"/>
      <c r="E614" s="12"/>
      <c r="F614" s="14">
        <f>D614/C614</f>
        <v>0</v>
      </c>
      <c r="G614" s="14">
        <f>D614/B614</f>
        <v>0</v>
      </c>
    </row>
    <row r="615" spans="1:7" ht="18" customHeight="1" outlineLevel="3" x14ac:dyDescent="0.25">
      <c r="A615" s="24" t="s">
        <v>48</v>
      </c>
      <c r="B615" s="25">
        <f>B616</f>
        <v>3500000</v>
      </c>
      <c r="C615" s="25">
        <f t="shared" ref="C615:E615" si="75">C616</f>
        <v>0</v>
      </c>
      <c r="D615" s="25">
        <f t="shared" si="75"/>
        <v>0</v>
      </c>
      <c r="E615" s="25">
        <f t="shared" si="75"/>
        <v>0</v>
      </c>
      <c r="F615" s="26">
        <v>0</v>
      </c>
      <c r="G615" s="26">
        <f t="shared" ref="G615" si="76">D615/B615</f>
        <v>0</v>
      </c>
    </row>
    <row r="616" spans="1:7" ht="43.5" customHeight="1" outlineLevel="1" x14ac:dyDescent="0.25">
      <c r="A616" s="70" t="s">
        <v>101</v>
      </c>
      <c r="B616" s="22">
        <v>3500000</v>
      </c>
      <c r="C616" s="38"/>
      <c r="D616" s="38"/>
      <c r="E616" s="38"/>
      <c r="F616" s="23">
        <v>0</v>
      </c>
      <c r="G616" s="23">
        <f>D616/B616</f>
        <v>0</v>
      </c>
    </row>
    <row r="617" spans="1:7" s="17" customFormat="1" ht="30" customHeight="1" outlineLevel="2" x14ac:dyDescent="0.2">
      <c r="A617" s="83" t="s">
        <v>25</v>
      </c>
      <c r="B617" s="9">
        <v>3500000</v>
      </c>
      <c r="C617" s="80"/>
      <c r="D617" s="80"/>
      <c r="E617" s="80"/>
      <c r="F617" s="16">
        <v>0</v>
      </c>
      <c r="G617" s="16">
        <f>D617/B617</f>
        <v>0</v>
      </c>
    </row>
    <row r="618" spans="1:7" ht="18" customHeight="1" outlineLevel="3" x14ac:dyDescent="0.25">
      <c r="A618" s="69" t="s">
        <v>57</v>
      </c>
      <c r="B618" s="11">
        <v>3500000</v>
      </c>
      <c r="C618" s="12"/>
      <c r="D618" s="12"/>
      <c r="E618" s="12"/>
      <c r="F618" s="14">
        <v>0</v>
      </c>
      <c r="G618" s="14">
        <f>D618/B618</f>
        <v>0</v>
      </c>
    </row>
    <row r="619" spans="1:7" ht="19.5" customHeight="1" outlineLevel="3" x14ac:dyDescent="0.25">
      <c r="A619" s="24" t="s">
        <v>49</v>
      </c>
      <c r="B619" s="25">
        <f>B620</f>
        <v>41000000</v>
      </c>
      <c r="C619" s="25">
        <f t="shared" ref="C619:E619" si="77">C620</f>
        <v>8000000</v>
      </c>
      <c r="D619" s="25">
        <f t="shared" si="77"/>
        <v>0</v>
      </c>
      <c r="E619" s="25">
        <f t="shared" si="77"/>
        <v>0</v>
      </c>
      <c r="F619" s="39">
        <v>0</v>
      </c>
      <c r="G619" s="39">
        <f t="shared" ref="G619" si="78">D619/B619</f>
        <v>0</v>
      </c>
    </row>
    <row r="620" spans="1:7" ht="44.25" customHeight="1" outlineLevel="1" x14ac:dyDescent="0.25">
      <c r="A620" s="70" t="s">
        <v>102</v>
      </c>
      <c r="B620" s="22">
        <v>41000000</v>
      </c>
      <c r="C620" s="22">
        <v>8000000</v>
      </c>
      <c r="D620" s="38"/>
      <c r="E620" s="38"/>
      <c r="F620" s="23">
        <f>D620/C620</f>
        <v>0</v>
      </c>
      <c r="G620" s="23">
        <f>D620/B620</f>
        <v>0</v>
      </c>
    </row>
    <row r="621" spans="1:7" s="17" customFormat="1" ht="15.75" customHeight="1" outlineLevel="2" x14ac:dyDescent="0.2">
      <c r="A621" s="83" t="s">
        <v>50</v>
      </c>
      <c r="B621" s="9">
        <v>40000000</v>
      </c>
      <c r="C621" s="9">
        <v>8000000</v>
      </c>
      <c r="D621" s="80"/>
      <c r="E621" s="80"/>
      <c r="F621" s="16">
        <f>D621/C621</f>
        <v>0</v>
      </c>
      <c r="G621" s="16">
        <f>D621/B621</f>
        <v>0</v>
      </c>
    </row>
    <row r="622" spans="1:7" ht="18.75" customHeight="1" outlineLevel="3" x14ac:dyDescent="0.25">
      <c r="A622" s="69" t="s">
        <v>57</v>
      </c>
      <c r="B622" s="11">
        <v>40000000</v>
      </c>
      <c r="C622" s="11">
        <v>8000000</v>
      </c>
      <c r="D622" s="12"/>
      <c r="E622" s="12"/>
      <c r="F622" s="14">
        <f>D622/C622</f>
        <v>0</v>
      </c>
      <c r="G622" s="14">
        <f>D622/B622</f>
        <v>0</v>
      </c>
    </row>
    <row r="623" spans="1:7" s="17" customFormat="1" ht="15" customHeight="1" outlineLevel="2" x14ac:dyDescent="0.2">
      <c r="A623" s="83" t="s">
        <v>51</v>
      </c>
      <c r="B623" s="9">
        <v>1000000</v>
      </c>
      <c r="C623" s="80"/>
      <c r="D623" s="80"/>
      <c r="E623" s="80"/>
      <c r="F623" s="16">
        <v>0</v>
      </c>
      <c r="G623" s="16">
        <f>D623/B623</f>
        <v>0</v>
      </c>
    </row>
    <row r="624" spans="1:7" ht="17.25" customHeight="1" outlineLevel="3" x14ac:dyDescent="0.25">
      <c r="A624" s="69" t="s">
        <v>57</v>
      </c>
      <c r="B624" s="11">
        <v>1000000</v>
      </c>
      <c r="C624" s="12"/>
      <c r="D624" s="12"/>
      <c r="E624" s="12"/>
      <c r="F624" s="14">
        <v>0</v>
      </c>
      <c r="G624" s="14">
        <f>D624/B624</f>
        <v>0</v>
      </c>
    </row>
    <row r="625" spans="1:7" ht="16.5" customHeight="1" outlineLevel="3" x14ac:dyDescent="0.25">
      <c r="A625" s="24" t="s">
        <v>53</v>
      </c>
      <c r="B625" s="25">
        <f>B626+B641+B646</f>
        <v>142683116</v>
      </c>
      <c r="C625" s="25">
        <f t="shared" ref="C625:E625" si="79">C626+C641+C646</f>
        <v>43947206</v>
      </c>
      <c r="D625" s="25">
        <f t="shared" si="79"/>
        <v>93984</v>
      </c>
      <c r="E625" s="25">
        <f t="shared" si="79"/>
        <v>0</v>
      </c>
      <c r="F625" s="26">
        <f t="shared" ref="F625" si="80">D625/C625</f>
        <v>2.1385659875624401E-3</v>
      </c>
      <c r="G625" s="26">
        <f t="shared" ref="G625" si="81">D625/B625</f>
        <v>6.5869040875165641E-4</v>
      </c>
    </row>
    <row r="626" spans="1:7" s="18" customFormat="1" ht="39.75" customHeight="1" outlineLevel="1" x14ac:dyDescent="0.2">
      <c r="A626" s="70" t="s">
        <v>119</v>
      </c>
      <c r="B626" s="22">
        <v>104114763</v>
      </c>
      <c r="C626" s="22">
        <v>11568306</v>
      </c>
      <c r="D626" s="22">
        <v>93984</v>
      </c>
      <c r="E626" s="38"/>
      <c r="F626" s="23">
        <f>D626/C626</f>
        <v>8.1242664224131008E-3</v>
      </c>
      <c r="G626" s="23">
        <f t="shared" ref="G626:G648" si="82">D626/B626</f>
        <v>9.0269619112517214E-4</v>
      </c>
    </row>
    <row r="627" spans="1:7" ht="15" customHeight="1" outlineLevel="2" x14ac:dyDescent="0.25">
      <c r="A627" s="68" t="s">
        <v>120</v>
      </c>
      <c r="B627" s="6">
        <v>699990</v>
      </c>
      <c r="C627" s="15"/>
      <c r="D627" s="15"/>
      <c r="E627" s="15"/>
      <c r="F627" s="7">
        <v>0</v>
      </c>
      <c r="G627" s="7">
        <f t="shared" si="82"/>
        <v>0</v>
      </c>
    </row>
    <row r="628" spans="1:7" ht="25.5" customHeight="1" outlineLevel="3" x14ac:dyDescent="0.25">
      <c r="A628" s="69" t="s">
        <v>59</v>
      </c>
      <c r="B628" s="11">
        <v>699990</v>
      </c>
      <c r="C628" s="12"/>
      <c r="D628" s="12"/>
      <c r="E628" s="12"/>
      <c r="F628" s="14">
        <v>0</v>
      </c>
      <c r="G628" s="14">
        <f t="shared" si="82"/>
        <v>0</v>
      </c>
    </row>
    <row r="629" spans="1:7" ht="28.5" customHeight="1" outlineLevel="2" x14ac:dyDescent="0.25">
      <c r="A629" s="68" t="s">
        <v>104</v>
      </c>
      <c r="B629" s="6">
        <v>1241802</v>
      </c>
      <c r="C629" s="15"/>
      <c r="D629" s="15"/>
      <c r="E629" s="15"/>
      <c r="F629" s="7">
        <v>0</v>
      </c>
      <c r="G629" s="7">
        <f t="shared" si="82"/>
        <v>0</v>
      </c>
    </row>
    <row r="630" spans="1:7" ht="27" customHeight="1" outlineLevel="3" x14ac:dyDescent="0.25">
      <c r="A630" s="69" t="s">
        <v>59</v>
      </c>
      <c r="B630" s="11">
        <v>1241802</v>
      </c>
      <c r="C630" s="12"/>
      <c r="D630" s="12"/>
      <c r="E630" s="12"/>
      <c r="F630" s="14">
        <v>0</v>
      </c>
      <c r="G630" s="14">
        <f t="shared" si="82"/>
        <v>0</v>
      </c>
    </row>
    <row r="631" spans="1:7" ht="26.25" customHeight="1" outlineLevel="2" x14ac:dyDescent="0.25">
      <c r="A631" s="68" t="s">
        <v>61</v>
      </c>
      <c r="B631" s="6">
        <v>999990</v>
      </c>
      <c r="C631" s="15"/>
      <c r="D631" s="15"/>
      <c r="E631" s="15"/>
      <c r="F631" s="7">
        <v>0</v>
      </c>
      <c r="G631" s="7">
        <f t="shared" si="82"/>
        <v>0</v>
      </c>
    </row>
    <row r="632" spans="1:7" ht="24.75" customHeight="1" outlineLevel="3" x14ac:dyDescent="0.25">
      <c r="A632" s="69" t="s">
        <v>59</v>
      </c>
      <c r="B632" s="11">
        <v>999990</v>
      </c>
      <c r="C632" s="12"/>
      <c r="D632" s="12"/>
      <c r="E632" s="12"/>
      <c r="F632" s="14">
        <v>0</v>
      </c>
      <c r="G632" s="14">
        <f t="shared" si="82"/>
        <v>0</v>
      </c>
    </row>
    <row r="633" spans="1:7" ht="26.25" customHeight="1" outlineLevel="2" x14ac:dyDescent="0.25">
      <c r="A633" s="68" t="s">
        <v>60</v>
      </c>
      <c r="B633" s="6">
        <v>598380</v>
      </c>
      <c r="C633" s="15"/>
      <c r="D633" s="15"/>
      <c r="E633" s="15"/>
      <c r="F633" s="7">
        <v>0</v>
      </c>
      <c r="G633" s="7">
        <f t="shared" si="82"/>
        <v>0</v>
      </c>
    </row>
    <row r="634" spans="1:7" ht="27.75" customHeight="1" outlineLevel="3" x14ac:dyDescent="0.25">
      <c r="A634" s="69" t="s">
        <v>59</v>
      </c>
      <c r="B634" s="11">
        <v>598380</v>
      </c>
      <c r="C634" s="12"/>
      <c r="D634" s="12"/>
      <c r="E634" s="12"/>
      <c r="F634" s="14">
        <v>0</v>
      </c>
      <c r="G634" s="14">
        <f t="shared" si="82"/>
        <v>0</v>
      </c>
    </row>
    <row r="635" spans="1:7" ht="18" customHeight="1" outlineLevel="2" x14ac:dyDescent="0.25">
      <c r="A635" s="68" t="s">
        <v>105</v>
      </c>
      <c r="B635" s="6">
        <v>699986</v>
      </c>
      <c r="C635" s="15"/>
      <c r="D635" s="15"/>
      <c r="E635" s="15"/>
      <c r="F635" s="7">
        <v>0</v>
      </c>
      <c r="G635" s="7">
        <f t="shared" si="82"/>
        <v>0</v>
      </c>
    </row>
    <row r="636" spans="1:7" ht="28.5" customHeight="1" outlineLevel="3" x14ac:dyDescent="0.25">
      <c r="A636" s="69" t="s">
        <v>59</v>
      </c>
      <c r="B636" s="11">
        <v>699986</v>
      </c>
      <c r="C636" s="12"/>
      <c r="D636" s="12"/>
      <c r="E636" s="12"/>
      <c r="F636" s="14">
        <v>0</v>
      </c>
      <c r="G636" s="14">
        <f t="shared" si="82"/>
        <v>0</v>
      </c>
    </row>
    <row r="637" spans="1:7" ht="29.25" customHeight="1" outlineLevel="2" x14ac:dyDescent="0.25">
      <c r="A637" s="68" t="s">
        <v>92</v>
      </c>
      <c r="B637" s="6">
        <v>1250000</v>
      </c>
      <c r="C637" s="6">
        <v>111111</v>
      </c>
      <c r="D637" s="15"/>
      <c r="E637" s="15"/>
      <c r="F637" s="7">
        <f>D637/C637</f>
        <v>0</v>
      </c>
      <c r="G637" s="7">
        <f t="shared" si="82"/>
        <v>0</v>
      </c>
    </row>
    <row r="638" spans="1:7" ht="27" customHeight="1" outlineLevel="3" x14ac:dyDescent="0.25">
      <c r="A638" s="69" t="s">
        <v>59</v>
      </c>
      <c r="B638" s="11">
        <v>1250000</v>
      </c>
      <c r="C638" s="11">
        <v>111111</v>
      </c>
      <c r="D638" s="12"/>
      <c r="E638" s="12"/>
      <c r="F638" s="14">
        <f>D638/C638</f>
        <v>0</v>
      </c>
      <c r="G638" s="14">
        <f t="shared" si="82"/>
        <v>0</v>
      </c>
    </row>
    <row r="639" spans="1:7" ht="41.25" customHeight="1" outlineLevel="2" x14ac:dyDescent="0.25">
      <c r="A639" s="68" t="s">
        <v>54</v>
      </c>
      <c r="B639" s="6">
        <v>98624615</v>
      </c>
      <c r="C639" s="6">
        <v>11457195</v>
      </c>
      <c r="D639" s="6">
        <v>93984</v>
      </c>
      <c r="E639" s="15"/>
      <c r="F639" s="7">
        <f>D639/C639</f>
        <v>8.2030549362212997E-3</v>
      </c>
      <c r="G639" s="7">
        <f t="shared" si="82"/>
        <v>9.5294668577413462E-4</v>
      </c>
    </row>
    <row r="640" spans="1:7" ht="27" customHeight="1" outlineLevel="3" x14ac:dyDescent="0.25">
      <c r="A640" s="69" t="s">
        <v>59</v>
      </c>
      <c r="B640" s="11">
        <v>98624615</v>
      </c>
      <c r="C640" s="11">
        <v>11457195</v>
      </c>
      <c r="D640" s="11">
        <v>93984</v>
      </c>
      <c r="E640" s="12"/>
      <c r="F640" s="14">
        <f>D640/C640</f>
        <v>8.2030549362212997E-3</v>
      </c>
      <c r="G640" s="14">
        <f t="shared" si="82"/>
        <v>9.5294668577413462E-4</v>
      </c>
    </row>
    <row r="641" spans="1:7" ht="54" customHeight="1" outlineLevel="1" x14ac:dyDescent="0.25">
      <c r="A641" s="70" t="s">
        <v>103</v>
      </c>
      <c r="B641" s="22">
        <v>18568353</v>
      </c>
      <c r="C641" s="22">
        <v>12378900</v>
      </c>
      <c r="D641" s="38"/>
      <c r="E641" s="38"/>
      <c r="F641" s="23">
        <f>D641/C641</f>
        <v>0</v>
      </c>
      <c r="G641" s="23">
        <f t="shared" si="82"/>
        <v>0</v>
      </c>
    </row>
    <row r="642" spans="1:7" ht="25.5" customHeight="1" outlineLevel="2" x14ac:dyDescent="0.25">
      <c r="A642" s="68" t="s">
        <v>121</v>
      </c>
      <c r="B642" s="6">
        <v>1710200</v>
      </c>
      <c r="C642" s="15"/>
      <c r="D642" s="15"/>
      <c r="E642" s="15"/>
      <c r="F642" s="7">
        <v>0</v>
      </c>
      <c r="G642" s="7">
        <f t="shared" si="82"/>
        <v>0</v>
      </c>
    </row>
    <row r="643" spans="1:7" ht="25.5" customHeight="1" outlineLevel="3" x14ac:dyDescent="0.25">
      <c r="A643" s="69" t="s">
        <v>59</v>
      </c>
      <c r="B643" s="11">
        <v>1710200</v>
      </c>
      <c r="C643" s="12"/>
      <c r="D643" s="12"/>
      <c r="E643" s="12"/>
      <c r="F643" s="14">
        <v>0</v>
      </c>
      <c r="G643" s="14">
        <f t="shared" si="82"/>
        <v>0</v>
      </c>
    </row>
    <row r="644" spans="1:7" ht="37.5" customHeight="1" outlineLevel="2" x14ac:dyDescent="0.25">
      <c r="A644" s="68" t="s">
        <v>54</v>
      </c>
      <c r="B644" s="6">
        <v>16858153</v>
      </c>
      <c r="C644" s="6">
        <v>12378900</v>
      </c>
      <c r="D644" s="15"/>
      <c r="E644" s="15"/>
      <c r="F644" s="7">
        <f>D644/C644</f>
        <v>0</v>
      </c>
      <c r="G644" s="7">
        <f t="shared" si="82"/>
        <v>0</v>
      </c>
    </row>
    <row r="645" spans="1:7" ht="25.5" customHeight="1" outlineLevel="3" x14ac:dyDescent="0.25">
      <c r="A645" s="69" t="s">
        <v>59</v>
      </c>
      <c r="B645" s="11">
        <v>16858153</v>
      </c>
      <c r="C645" s="11">
        <v>12378900</v>
      </c>
      <c r="D645" s="12"/>
      <c r="E645" s="12"/>
      <c r="F645" s="14">
        <f>D645/C645</f>
        <v>0</v>
      </c>
      <c r="G645" s="14">
        <f t="shared" si="82"/>
        <v>0</v>
      </c>
    </row>
    <row r="646" spans="1:7" ht="27" customHeight="1" outlineLevel="1" x14ac:dyDescent="0.25">
      <c r="A646" s="70" t="s">
        <v>122</v>
      </c>
      <c r="B646" s="22">
        <v>20000000</v>
      </c>
      <c r="C646" s="22">
        <v>20000000</v>
      </c>
      <c r="D646" s="38"/>
      <c r="E646" s="38"/>
      <c r="F646" s="23">
        <f>D646/C646</f>
        <v>0</v>
      </c>
      <c r="G646" s="23">
        <f t="shared" si="82"/>
        <v>0</v>
      </c>
    </row>
    <row r="647" spans="1:7" ht="28.5" customHeight="1" outlineLevel="2" x14ac:dyDescent="0.25">
      <c r="A647" s="68" t="s">
        <v>92</v>
      </c>
      <c r="B647" s="6">
        <v>20000000</v>
      </c>
      <c r="C647" s="6">
        <v>20000000</v>
      </c>
      <c r="D647" s="15"/>
      <c r="E647" s="15"/>
      <c r="F647" s="7">
        <f>D647/C647</f>
        <v>0</v>
      </c>
      <c r="G647" s="7">
        <f t="shared" si="82"/>
        <v>0</v>
      </c>
    </row>
    <row r="648" spans="1:7" ht="27.75" customHeight="1" outlineLevel="3" x14ac:dyDescent="0.25">
      <c r="A648" s="69" t="s">
        <v>59</v>
      </c>
      <c r="B648" s="11">
        <v>20000000</v>
      </c>
      <c r="C648" s="11">
        <v>20000000</v>
      </c>
      <c r="D648" s="12"/>
      <c r="E648" s="12"/>
      <c r="F648" s="14">
        <f>D648/C648</f>
        <v>0</v>
      </c>
      <c r="G648" s="14">
        <f t="shared" si="82"/>
        <v>0</v>
      </c>
    </row>
    <row r="649" spans="1:7" ht="11.45" customHeight="1" x14ac:dyDescent="0.25">
      <c r="A649" s="84"/>
      <c r="B649" s="2"/>
      <c r="C649" s="2"/>
      <c r="D649" s="2"/>
      <c r="E649" s="2"/>
      <c r="F649" s="2"/>
      <c r="G649" s="2"/>
    </row>
  </sheetData>
  <mergeCells count="7">
    <mergeCell ref="A1:G1"/>
    <mergeCell ref="B2:B5"/>
    <mergeCell ref="C2:C5"/>
    <mergeCell ref="D2:D5"/>
    <mergeCell ref="E2:E5"/>
    <mergeCell ref="F2:F5"/>
    <mergeCell ref="G2:G5"/>
  </mergeCells>
  <pageMargins left="0.11811023622047245" right="0.31496062992125984" top="0.15748031496062992" bottom="0.15748031496062992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DC603-AB50-48F0-9DC4-BED1C060B7C2}">
  <dimension ref="A1:H640"/>
  <sheetViews>
    <sheetView tabSelected="1" view="pageBreakPreview" zoomScale="106" zoomScaleNormal="100" zoomScaleSheetLayoutView="106" workbookViewId="0">
      <selection activeCell="C242" sqref="C242"/>
    </sheetView>
  </sheetViews>
  <sheetFormatPr defaultRowHeight="15" outlineLevelRow="3" x14ac:dyDescent="0.25"/>
  <cols>
    <col min="1" max="1" width="59.28515625" style="74" customWidth="1"/>
    <col min="2" max="3" width="16" style="86" customWidth="1"/>
    <col min="4" max="4" width="16.28515625" style="86" customWidth="1"/>
    <col min="5" max="5" width="16" style="86" customWidth="1"/>
    <col min="6" max="6" width="10.140625" style="86" customWidth="1"/>
    <col min="7" max="7" width="10.28515625" style="86" customWidth="1"/>
  </cols>
  <sheetData>
    <row r="1" spans="1:7" s="73" customFormat="1" ht="24.75" customHeight="1" x14ac:dyDescent="0.25">
      <c r="A1" s="98" t="s">
        <v>140</v>
      </c>
      <c r="B1" s="99"/>
      <c r="C1" s="99"/>
      <c r="D1" s="99"/>
      <c r="E1" s="99"/>
      <c r="F1" s="99"/>
      <c r="G1" s="99"/>
    </row>
    <row r="2" spans="1:7" s="104" customFormat="1" ht="13.5" customHeight="1" x14ac:dyDescent="0.2">
      <c r="A2" s="101" t="s">
        <v>0</v>
      </c>
      <c r="B2" s="102" t="s">
        <v>96</v>
      </c>
      <c r="C2" s="102" t="s">
        <v>1</v>
      </c>
      <c r="D2" s="102" t="s">
        <v>97</v>
      </c>
      <c r="E2" s="102" t="s">
        <v>2</v>
      </c>
      <c r="F2" s="103" t="s">
        <v>3</v>
      </c>
      <c r="G2" s="103" t="s">
        <v>4</v>
      </c>
    </row>
    <row r="3" spans="1:7" s="104" customFormat="1" ht="12" customHeight="1" x14ac:dyDescent="0.2">
      <c r="A3" s="101" t="s">
        <v>62</v>
      </c>
      <c r="B3" s="102"/>
      <c r="C3" s="102"/>
      <c r="D3" s="102"/>
      <c r="E3" s="102"/>
      <c r="F3" s="103"/>
      <c r="G3" s="103"/>
    </row>
    <row r="4" spans="1:7" s="104" customFormat="1" ht="12.75" customHeight="1" x14ac:dyDescent="0.2">
      <c r="A4" s="101" t="s">
        <v>63</v>
      </c>
      <c r="B4" s="102"/>
      <c r="C4" s="102"/>
      <c r="D4" s="102"/>
      <c r="E4" s="102"/>
      <c r="F4" s="103"/>
      <c r="G4" s="103"/>
    </row>
    <row r="5" spans="1:7" s="104" customFormat="1" ht="13.5" customHeight="1" x14ac:dyDescent="0.2">
      <c r="A5" s="101" t="s">
        <v>5</v>
      </c>
      <c r="B5" s="102"/>
      <c r="C5" s="102"/>
      <c r="D5" s="102"/>
      <c r="E5" s="102"/>
      <c r="F5" s="103"/>
      <c r="G5" s="103"/>
    </row>
    <row r="6" spans="1:7" ht="15.75" customHeight="1" x14ac:dyDescent="0.25">
      <c r="A6" s="82" t="s">
        <v>6</v>
      </c>
      <c r="B6" s="90">
        <f>B7+B92+B438+B495+B527+B577</f>
        <v>4562575056</v>
      </c>
      <c r="C6" s="90">
        <f t="shared" ref="C6:E6" si="0">C7+C92+C438+C495+C527+C577</f>
        <v>2196774239</v>
      </c>
      <c r="D6" s="90">
        <f t="shared" si="0"/>
        <v>1888223865.1399999</v>
      </c>
      <c r="E6" s="90">
        <f t="shared" si="0"/>
        <v>1842538879.1000001</v>
      </c>
      <c r="F6" s="91">
        <f t="shared" ref="F6" si="1">D6/C6</f>
        <v>0.85954388558359263</v>
      </c>
      <c r="G6" s="91">
        <f t="shared" ref="G6" si="2">D6/B6</f>
        <v>0.41385047740900111</v>
      </c>
    </row>
    <row r="7" spans="1:7" ht="19.5" customHeight="1" x14ac:dyDescent="0.25">
      <c r="A7" s="24" t="s">
        <v>7</v>
      </c>
      <c r="B7" s="25">
        <f>B8</f>
        <v>257578780</v>
      </c>
      <c r="C7" s="25">
        <f t="shared" ref="C7:E7" si="3">C8</f>
        <v>95503072</v>
      </c>
      <c r="D7" s="25">
        <f t="shared" si="3"/>
        <v>83690842.329999983</v>
      </c>
      <c r="E7" s="25">
        <f t="shared" si="3"/>
        <v>83690842.329999983</v>
      </c>
      <c r="F7" s="26">
        <f t="shared" ref="F7" si="4">D7/C7</f>
        <v>0.87631570982344931</v>
      </c>
      <c r="G7" s="26">
        <f t="shared" ref="G7" si="5">D7/B7</f>
        <v>0.32491357529529408</v>
      </c>
    </row>
    <row r="8" spans="1:7" s="54" customFormat="1" ht="26.1" customHeight="1" outlineLevel="1" x14ac:dyDescent="0.25">
      <c r="A8" s="28" t="s">
        <v>64</v>
      </c>
      <c r="B8" s="93">
        <f>B9+B18+B29+B40+B50+B59+B68+B72+B82</f>
        <v>257578780</v>
      </c>
      <c r="C8" s="93">
        <f t="shared" ref="C8:E8" si="6">C9+C18+C29+C40+C50+C59+C68+C72+C82</f>
        <v>95503072</v>
      </c>
      <c r="D8" s="93">
        <f t="shared" si="6"/>
        <v>83690842.329999983</v>
      </c>
      <c r="E8" s="93">
        <f t="shared" si="6"/>
        <v>83690842.329999983</v>
      </c>
      <c r="F8" s="94">
        <f t="shared" ref="F8:F70" si="7">D8/C8</f>
        <v>0.87631570982344931</v>
      </c>
      <c r="G8" s="94">
        <f t="shared" ref="G8:G70" si="8">D8/B8</f>
        <v>0.32491357529529408</v>
      </c>
    </row>
    <row r="9" spans="1:7" s="78" customFormat="1" ht="27" customHeight="1" outlineLevel="2" x14ac:dyDescent="0.25">
      <c r="A9" s="8" t="s">
        <v>8</v>
      </c>
      <c r="B9" s="9">
        <v>33146799</v>
      </c>
      <c r="C9" s="9">
        <f>SUM(C10:C17)</f>
        <v>12103062</v>
      </c>
      <c r="D9" s="9">
        <v>10129205.720000001</v>
      </c>
      <c r="E9" s="9">
        <v>10129205.720000001</v>
      </c>
      <c r="F9" s="16">
        <f t="shared" si="7"/>
        <v>0.83691265235194212</v>
      </c>
      <c r="G9" s="16">
        <f t="shared" si="8"/>
        <v>0.30558624137431795</v>
      </c>
    </row>
    <row r="10" spans="1:7" ht="12.75" customHeight="1" outlineLevel="3" x14ac:dyDescent="0.25">
      <c r="A10" s="10" t="s">
        <v>9</v>
      </c>
      <c r="B10" s="87">
        <v>24969191</v>
      </c>
      <c r="C10" s="87">
        <v>8971725</v>
      </c>
      <c r="D10" s="87">
        <v>7770370.2199999997</v>
      </c>
      <c r="E10" s="87">
        <v>7770370.2199999997</v>
      </c>
      <c r="F10" s="92">
        <f t="shared" si="7"/>
        <v>0.86609545210090588</v>
      </c>
      <c r="G10" s="92">
        <f t="shared" si="8"/>
        <v>0.31119831715813301</v>
      </c>
    </row>
    <row r="11" spans="1:7" ht="12.75" customHeight="1" outlineLevel="3" x14ac:dyDescent="0.25">
      <c r="A11" s="10" t="s">
        <v>10</v>
      </c>
      <c r="B11" s="87">
        <v>5493221</v>
      </c>
      <c r="C11" s="87">
        <v>1973779</v>
      </c>
      <c r="D11" s="87">
        <v>1624435.37</v>
      </c>
      <c r="E11" s="87">
        <v>1624435.37</v>
      </c>
      <c r="F11" s="92">
        <f t="shared" si="7"/>
        <v>0.82300772781552556</v>
      </c>
      <c r="G11" s="92">
        <f t="shared" si="8"/>
        <v>0.29571636932138723</v>
      </c>
    </row>
    <row r="12" spans="1:7" ht="12.75" customHeight="1" outlineLevel="3" x14ac:dyDescent="0.25">
      <c r="A12" s="10" t="s">
        <v>11</v>
      </c>
      <c r="B12" s="87">
        <v>407670</v>
      </c>
      <c r="C12" s="87">
        <v>172170</v>
      </c>
      <c r="D12" s="87">
        <v>143794.46</v>
      </c>
      <c r="E12" s="87">
        <v>143794.46</v>
      </c>
      <c r="F12" s="92">
        <f t="shared" si="7"/>
        <v>0.83518882499854785</v>
      </c>
      <c r="G12" s="92">
        <f t="shared" si="8"/>
        <v>0.35272269237373366</v>
      </c>
    </row>
    <row r="13" spans="1:7" ht="12.75" customHeight="1" outlineLevel="3" x14ac:dyDescent="0.25">
      <c r="A13" s="10" t="s">
        <v>12</v>
      </c>
      <c r="B13" s="87">
        <v>1373756</v>
      </c>
      <c r="C13" s="87">
        <v>550000</v>
      </c>
      <c r="D13" s="87">
        <v>256569.54</v>
      </c>
      <c r="E13" s="87">
        <v>256569.54</v>
      </c>
      <c r="F13" s="92">
        <f t="shared" si="7"/>
        <v>0.46649007272727272</v>
      </c>
      <c r="G13" s="92">
        <f t="shared" si="8"/>
        <v>0.18676500048043468</v>
      </c>
    </row>
    <row r="14" spans="1:7" ht="12.75" customHeight="1" outlineLevel="3" x14ac:dyDescent="0.25">
      <c r="A14" s="10" t="s">
        <v>13</v>
      </c>
      <c r="B14" s="87">
        <v>394493</v>
      </c>
      <c r="C14" s="87">
        <v>137248</v>
      </c>
      <c r="D14" s="87">
        <v>42767.72</v>
      </c>
      <c r="E14" s="87">
        <v>42767.72</v>
      </c>
      <c r="F14" s="92">
        <f t="shared" si="7"/>
        <v>0.31160905805549077</v>
      </c>
      <c r="G14" s="92">
        <f t="shared" si="8"/>
        <v>0.10841186028649431</v>
      </c>
    </row>
    <row r="15" spans="1:7" ht="12.75" customHeight="1" outlineLevel="3" x14ac:dyDescent="0.25">
      <c r="A15" s="10" t="s">
        <v>14</v>
      </c>
      <c r="B15" s="87">
        <v>31644</v>
      </c>
      <c r="C15" s="87">
        <v>14090</v>
      </c>
      <c r="D15" s="87">
        <v>13181.5</v>
      </c>
      <c r="E15" s="87">
        <v>13181.5</v>
      </c>
      <c r="F15" s="92">
        <f t="shared" si="7"/>
        <v>0.93552164655784242</v>
      </c>
      <c r="G15" s="92">
        <f t="shared" si="8"/>
        <v>0.41655606118063454</v>
      </c>
    </row>
    <row r="16" spans="1:7" ht="12.75" customHeight="1" outlineLevel="3" x14ac:dyDescent="0.25">
      <c r="A16" s="10" t="s">
        <v>15</v>
      </c>
      <c r="B16" s="87">
        <v>470824</v>
      </c>
      <c r="C16" s="87">
        <v>282050</v>
      </c>
      <c r="D16" s="87">
        <v>278086.90999999997</v>
      </c>
      <c r="E16" s="87">
        <v>278086.90999999997</v>
      </c>
      <c r="F16" s="92">
        <f t="shared" si="7"/>
        <v>0.98594898067718484</v>
      </c>
      <c r="G16" s="92">
        <f t="shared" si="8"/>
        <v>0.59063877372436402</v>
      </c>
    </row>
    <row r="17" spans="1:7" ht="24.75" customHeight="1" outlineLevel="3" x14ac:dyDescent="0.25">
      <c r="A17" s="10" t="s">
        <v>16</v>
      </c>
      <c r="B17" s="87">
        <v>6000</v>
      </c>
      <c r="C17" s="87">
        <v>2000</v>
      </c>
      <c r="D17" s="89"/>
      <c r="E17" s="89"/>
      <c r="F17" s="92">
        <f t="shared" si="7"/>
        <v>0</v>
      </c>
      <c r="G17" s="92">
        <f t="shared" si="8"/>
        <v>0</v>
      </c>
    </row>
    <row r="18" spans="1:7" s="78" customFormat="1" ht="14.25" customHeight="1" outlineLevel="2" x14ac:dyDescent="0.25">
      <c r="A18" s="8" t="s">
        <v>17</v>
      </c>
      <c r="B18" s="9">
        <v>95058648</v>
      </c>
      <c r="C18" s="9">
        <f>SUM(C19:C28)</f>
        <v>34442639</v>
      </c>
      <c r="D18" s="9">
        <v>29539281.390000001</v>
      </c>
      <c r="E18" s="9">
        <v>29539281.390000001</v>
      </c>
      <c r="F18" s="16">
        <f t="shared" si="7"/>
        <v>0.85763699436619822</v>
      </c>
      <c r="G18" s="16">
        <f t="shared" si="8"/>
        <v>0.31074796466703375</v>
      </c>
    </row>
    <row r="19" spans="1:7" ht="13.5" customHeight="1" outlineLevel="3" x14ac:dyDescent="0.25">
      <c r="A19" s="10" t="s">
        <v>9</v>
      </c>
      <c r="B19" s="87">
        <v>71688987</v>
      </c>
      <c r="C19" s="87">
        <v>25260521</v>
      </c>
      <c r="D19" s="87">
        <v>22756124.329999998</v>
      </c>
      <c r="E19" s="87">
        <v>22756124.329999998</v>
      </c>
      <c r="F19" s="92">
        <f t="shared" si="7"/>
        <v>0.90085728358492678</v>
      </c>
      <c r="G19" s="92">
        <f t="shared" si="8"/>
        <v>0.3174284542477912</v>
      </c>
    </row>
    <row r="20" spans="1:7" ht="13.5" customHeight="1" outlineLevel="3" x14ac:dyDescent="0.25">
      <c r="A20" s="10" t="s">
        <v>10</v>
      </c>
      <c r="B20" s="87">
        <v>15771577</v>
      </c>
      <c r="C20" s="87">
        <v>5557318</v>
      </c>
      <c r="D20" s="87">
        <v>4979583.38</v>
      </c>
      <c r="E20" s="87">
        <v>4979583.38</v>
      </c>
      <c r="F20" s="92">
        <f t="shared" si="7"/>
        <v>0.8960407484329671</v>
      </c>
      <c r="G20" s="92">
        <f t="shared" si="8"/>
        <v>0.31573148201983858</v>
      </c>
    </row>
    <row r="21" spans="1:7" ht="13.5" customHeight="1" outlineLevel="3" x14ac:dyDescent="0.25">
      <c r="A21" s="10" t="s">
        <v>11</v>
      </c>
      <c r="B21" s="87">
        <v>1474400</v>
      </c>
      <c r="C21" s="87">
        <v>600000</v>
      </c>
      <c r="D21" s="87">
        <v>212167.32</v>
      </c>
      <c r="E21" s="87">
        <v>212167.32</v>
      </c>
      <c r="F21" s="92">
        <f t="shared" si="7"/>
        <v>0.35361219999999999</v>
      </c>
      <c r="G21" s="92">
        <f t="shared" si="8"/>
        <v>0.14390078676071621</v>
      </c>
    </row>
    <row r="22" spans="1:7" ht="13.5" customHeight="1" outlineLevel="3" x14ac:dyDescent="0.25">
      <c r="A22" s="10" t="s">
        <v>12</v>
      </c>
      <c r="B22" s="87">
        <v>2233970</v>
      </c>
      <c r="C22" s="87">
        <v>820000</v>
      </c>
      <c r="D22" s="87">
        <v>611879.44999999995</v>
      </c>
      <c r="E22" s="87">
        <v>611879.44999999995</v>
      </c>
      <c r="F22" s="92">
        <f t="shared" si="7"/>
        <v>0.74619445121951211</v>
      </c>
      <c r="G22" s="92">
        <f t="shared" si="8"/>
        <v>0.27389779182352492</v>
      </c>
    </row>
    <row r="23" spans="1:7" ht="13.5" customHeight="1" outlineLevel="3" x14ac:dyDescent="0.25">
      <c r="A23" s="10" t="s">
        <v>13</v>
      </c>
      <c r="B23" s="87">
        <v>1411047</v>
      </c>
      <c r="C23" s="87">
        <v>859600</v>
      </c>
      <c r="D23" s="87">
        <v>170375.82</v>
      </c>
      <c r="E23" s="87">
        <v>170375.82</v>
      </c>
      <c r="F23" s="92">
        <f t="shared" si="7"/>
        <v>0.19820360632852491</v>
      </c>
      <c r="G23" s="92">
        <f t="shared" si="8"/>
        <v>0.12074425586107337</v>
      </c>
    </row>
    <row r="24" spans="1:7" ht="13.5" customHeight="1" outlineLevel="3" x14ac:dyDescent="0.25">
      <c r="A24" s="10" t="s">
        <v>14</v>
      </c>
      <c r="B24" s="87">
        <v>202000</v>
      </c>
      <c r="C24" s="87">
        <v>77200</v>
      </c>
      <c r="D24" s="87">
        <v>24849.66</v>
      </c>
      <c r="E24" s="87">
        <v>24849.66</v>
      </c>
      <c r="F24" s="92">
        <f t="shared" si="7"/>
        <v>0.32188678756476685</v>
      </c>
      <c r="G24" s="92">
        <f t="shared" si="8"/>
        <v>0.12301811881188118</v>
      </c>
    </row>
    <row r="25" spans="1:7" ht="13.5" customHeight="1" outlineLevel="3" x14ac:dyDescent="0.25">
      <c r="A25" s="10" t="s">
        <v>15</v>
      </c>
      <c r="B25" s="87">
        <v>1688667</v>
      </c>
      <c r="C25" s="87">
        <v>698000</v>
      </c>
      <c r="D25" s="87">
        <v>479157.19</v>
      </c>
      <c r="E25" s="87">
        <v>479157.19</v>
      </c>
      <c r="F25" s="92">
        <f t="shared" si="7"/>
        <v>0.68647161891117481</v>
      </c>
      <c r="G25" s="92">
        <f t="shared" si="8"/>
        <v>0.28374877344082639</v>
      </c>
    </row>
    <row r="26" spans="1:7" ht="24.75" customHeight="1" outlineLevel="3" x14ac:dyDescent="0.25">
      <c r="A26" s="10" t="s">
        <v>16</v>
      </c>
      <c r="B26" s="87">
        <v>8000</v>
      </c>
      <c r="C26" s="87">
        <v>8000</v>
      </c>
      <c r="D26" s="89"/>
      <c r="E26" s="89"/>
      <c r="F26" s="92">
        <f t="shared" si="7"/>
        <v>0</v>
      </c>
      <c r="G26" s="92">
        <f t="shared" si="8"/>
        <v>0</v>
      </c>
    </row>
    <row r="27" spans="1:7" ht="13.5" customHeight="1" outlineLevel="3" x14ac:dyDescent="0.25">
      <c r="A27" s="10" t="s">
        <v>18</v>
      </c>
      <c r="B27" s="87">
        <v>30000</v>
      </c>
      <c r="C27" s="87">
        <v>12000</v>
      </c>
      <c r="D27" s="87">
        <v>7144.24</v>
      </c>
      <c r="E27" s="87">
        <v>7144.24</v>
      </c>
      <c r="F27" s="92">
        <f t="shared" si="7"/>
        <v>0.59535333333333329</v>
      </c>
      <c r="G27" s="92">
        <f t="shared" si="8"/>
        <v>0.23814133333333332</v>
      </c>
    </row>
    <row r="28" spans="1:7" ht="26.25" customHeight="1" outlineLevel="3" x14ac:dyDescent="0.25">
      <c r="A28" s="10" t="s">
        <v>56</v>
      </c>
      <c r="B28" s="87">
        <v>550000</v>
      </c>
      <c r="C28" s="87">
        <v>550000</v>
      </c>
      <c r="D28" s="87">
        <v>298000</v>
      </c>
      <c r="E28" s="87">
        <v>298000</v>
      </c>
      <c r="F28" s="92">
        <f t="shared" si="7"/>
        <v>0.54181818181818187</v>
      </c>
      <c r="G28" s="92">
        <f t="shared" si="8"/>
        <v>0.54181818181818187</v>
      </c>
    </row>
    <row r="29" spans="1:7" s="78" customFormat="1" ht="27" customHeight="1" outlineLevel="2" x14ac:dyDescent="0.25">
      <c r="A29" s="8" t="s">
        <v>19</v>
      </c>
      <c r="B29" s="9">
        <v>11235288</v>
      </c>
      <c r="C29" s="9">
        <v>4389432</v>
      </c>
      <c r="D29" s="9">
        <v>3898711.44</v>
      </c>
      <c r="E29" s="9">
        <v>3898711.44</v>
      </c>
      <c r="F29" s="16">
        <f t="shared" si="7"/>
        <v>0.88820408654240457</v>
      </c>
      <c r="G29" s="16">
        <f t="shared" si="8"/>
        <v>0.34700591920741147</v>
      </c>
    </row>
    <row r="30" spans="1:7" ht="14.25" customHeight="1" outlineLevel="3" x14ac:dyDescent="0.25">
      <c r="A30" s="10" t="s">
        <v>9</v>
      </c>
      <c r="B30" s="87">
        <v>8809824</v>
      </c>
      <c r="C30" s="87">
        <v>3352207</v>
      </c>
      <c r="D30" s="87">
        <v>3027900.63</v>
      </c>
      <c r="E30" s="87">
        <v>3027900.63</v>
      </c>
      <c r="F30" s="92">
        <f t="shared" si="7"/>
        <v>0.90325586397260071</v>
      </c>
      <c r="G30" s="92">
        <f t="shared" si="8"/>
        <v>0.34369592741012761</v>
      </c>
    </row>
    <row r="31" spans="1:7" ht="14.25" customHeight="1" outlineLevel="3" x14ac:dyDescent="0.25">
      <c r="A31" s="10" t="s">
        <v>10</v>
      </c>
      <c r="B31" s="87">
        <v>1938162</v>
      </c>
      <c r="C31" s="87">
        <v>737486</v>
      </c>
      <c r="D31" s="87">
        <v>668220.11</v>
      </c>
      <c r="E31" s="87">
        <v>668220.11</v>
      </c>
      <c r="F31" s="92">
        <f t="shared" si="7"/>
        <v>0.90607836623339288</v>
      </c>
      <c r="G31" s="92">
        <f t="shared" si="8"/>
        <v>0.34476999858628948</v>
      </c>
    </row>
    <row r="32" spans="1:7" ht="14.25" customHeight="1" outlineLevel="3" x14ac:dyDescent="0.25">
      <c r="A32" s="10" t="s">
        <v>11</v>
      </c>
      <c r="B32" s="87">
        <v>76600</v>
      </c>
      <c r="C32" s="87">
        <v>39600</v>
      </c>
      <c r="D32" s="89"/>
      <c r="E32" s="89"/>
      <c r="F32" s="92">
        <f t="shared" si="7"/>
        <v>0</v>
      </c>
      <c r="G32" s="92">
        <f t="shared" si="8"/>
        <v>0</v>
      </c>
    </row>
    <row r="33" spans="1:7" ht="14.25" customHeight="1" outlineLevel="3" x14ac:dyDescent="0.25">
      <c r="A33" s="10" t="s">
        <v>12</v>
      </c>
      <c r="B33" s="87">
        <v>124800</v>
      </c>
      <c r="C33" s="87">
        <v>56900</v>
      </c>
      <c r="D33" s="87">
        <v>35431.050000000003</v>
      </c>
      <c r="E33" s="87">
        <v>35431.050000000003</v>
      </c>
      <c r="F33" s="92">
        <f t="shared" si="7"/>
        <v>0.62268980667838314</v>
      </c>
      <c r="G33" s="92">
        <f t="shared" si="8"/>
        <v>0.28390264423076927</v>
      </c>
    </row>
    <row r="34" spans="1:7" ht="14.25" customHeight="1" outlineLevel="3" x14ac:dyDescent="0.25">
      <c r="A34" s="10" t="s">
        <v>13</v>
      </c>
      <c r="B34" s="87">
        <v>53637</v>
      </c>
      <c r="C34" s="87">
        <v>32182</v>
      </c>
      <c r="D34" s="87">
        <v>5726.5</v>
      </c>
      <c r="E34" s="87">
        <v>5726.5</v>
      </c>
      <c r="F34" s="92">
        <f t="shared" si="7"/>
        <v>0.17794108507861536</v>
      </c>
      <c r="G34" s="92">
        <f t="shared" si="8"/>
        <v>0.10676398754591047</v>
      </c>
    </row>
    <row r="35" spans="1:7" ht="14.25" customHeight="1" outlineLevel="3" x14ac:dyDescent="0.25">
      <c r="A35" s="10" t="s">
        <v>14</v>
      </c>
      <c r="B35" s="87">
        <v>22673</v>
      </c>
      <c r="C35" s="87">
        <v>9447</v>
      </c>
      <c r="D35" s="87">
        <v>3639.92</v>
      </c>
      <c r="E35" s="87">
        <v>3639.92</v>
      </c>
      <c r="F35" s="92">
        <f t="shared" si="7"/>
        <v>0.38529903673123744</v>
      </c>
      <c r="G35" s="92">
        <f t="shared" si="8"/>
        <v>0.16053984915979358</v>
      </c>
    </row>
    <row r="36" spans="1:7" ht="14.25" customHeight="1" outlineLevel="3" x14ac:dyDescent="0.25">
      <c r="A36" s="10" t="s">
        <v>15</v>
      </c>
      <c r="B36" s="87">
        <v>81862</v>
      </c>
      <c r="C36" s="87">
        <v>33880</v>
      </c>
      <c r="D36" s="87">
        <v>30416.39</v>
      </c>
      <c r="E36" s="87">
        <v>30416.39</v>
      </c>
      <c r="F36" s="92">
        <f t="shared" si="7"/>
        <v>0.89776829988193618</v>
      </c>
      <c r="G36" s="92">
        <f t="shared" si="8"/>
        <v>0.37155688842197843</v>
      </c>
    </row>
    <row r="37" spans="1:7" ht="25.5" customHeight="1" outlineLevel="3" x14ac:dyDescent="0.25">
      <c r="A37" s="10" t="s">
        <v>16</v>
      </c>
      <c r="B37" s="87">
        <v>1300</v>
      </c>
      <c r="C37" s="87">
        <v>1300</v>
      </c>
      <c r="D37" s="88">
        <v>950</v>
      </c>
      <c r="E37" s="88">
        <v>950</v>
      </c>
      <c r="F37" s="92">
        <f t="shared" si="7"/>
        <v>0.73076923076923073</v>
      </c>
      <c r="G37" s="92">
        <f t="shared" si="8"/>
        <v>0.73076923076923073</v>
      </c>
    </row>
    <row r="38" spans="1:7" ht="12.75" customHeight="1" outlineLevel="3" x14ac:dyDescent="0.25">
      <c r="A38" s="10" t="s">
        <v>18</v>
      </c>
      <c r="B38" s="87">
        <v>26630</v>
      </c>
      <c r="C38" s="87">
        <v>26630</v>
      </c>
      <c r="D38" s="87">
        <v>26628.84</v>
      </c>
      <c r="E38" s="87">
        <v>26628.84</v>
      </c>
      <c r="F38" s="92">
        <f t="shared" si="7"/>
        <v>0.99995644010514462</v>
      </c>
      <c r="G38" s="92">
        <f t="shared" si="8"/>
        <v>0.99995644010514462</v>
      </c>
    </row>
    <row r="39" spans="1:7" ht="24" customHeight="1" outlineLevel="3" x14ac:dyDescent="0.25">
      <c r="A39" s="10" t="s">
        <v>56</v>
      </c>
      <c r="B39" s="87">
        <v>99800</v>
      </c>
      <c r="C39" s="87">
        <v>99800</v>
      </c>
      <c r="D39" s="87">
        <v>99798</v>
      </c>
      <c r="E39" s="87">
        <v>99798</v>
      </c>
      <c r="F39" s="92">
        <f t="shared" si="7"/>
        <v>0.99997995991983968</v>
      </c>
      <c r="G39" s="92">
        <f t="shared" si="8"/>
        <v>0.99997995991983968</v>
      </c>
    </row>
    <row r="40" spans="1:7" s="78" customFormat="1" ht="27" customHeight="1" outlineLevel="2" x14ac:dyDescent="0.25">
      <c r="A40" s="8" t="s">
        <v>20</v>
      </c>
      <c r="B40" s="9">
        <v>54282245</v>
      </c>
      <c r="C40" s="9">
        <v>20496968</v>
      </c>
      <c r="D40" s="9">
        <v>18828149.079999998</v>
      </c>
      <c r="E40" s="9">
        <v>18828149.079999998</v>
      </c>
      <c r="F40" s="16">
        <f t="shared" si="7"/>
        <v>0.9185821571268491</v>
      </c>
      <c r="G40" s="16">
        <f t="shared" si="8"/>
        <v>0.34685649202607588</v>
      </c>
    </row>
    <row r="41" spans="1:7" ht="13.5" customHeight="1" outlineLevel="3" x14ac:dyDescent="0.25">
      <c r="A41" s="10" t="s">
        <v>9</v>
      </c>
      <c r="B41" s="87">
        <v>42477511</v>
      </c>
      <c r="C41" s="87">
        <v>15844724</v>
      </c>
      <c r="D41" s="87">
        <v>14870911.380000001</v>
      </c>
      <c r="E41" s="87">
        <v>14870911.380000001</v>
      </c>
      <c r="F41" s="92">
        <f t="shared" si="7"/>
        <v>0.93854025983664979</v>
      </c>
      <c r="G41" s="92">
        <f t="shared" si="8"/>
        <v>0.3500890478258013</v>
      </c>
    </row>
    <row r="42" spans="1:7" ht="13.5" customHeight="1" outlineLevel="3" x14ac:dyDescent="0.25">
      <c r="A42" s="10" t="s">
        <v>10</v>
      </c>
      <c r="B42" s="87">
        <v>9345052</v>
      </c>
      <c r="C42" s="87">
        <v>3465149</v>
      </c>
      <c r="D42" s="87">
        <v>3056612.21</v>
      </c>
      <c r="E42" s="87">
        <v>3056612.21</v>
      </c>
      <c r="F42" s="92">
        <f t="shared" si="7"/>
        <v>0.88210123431921683</v>
      </c>
      <c r="G42" s="92">
        <f t="shared" si="8"/>
        <v>0.32708348867400633</v>
      </c>
    </row>
    <row r="43" spans="1:7" ht="13.5" customHeight="1" outlineLevel="3" x14ac:dyDescent="0.25">
      <c r="A43" s="10" t="s">
        <v>11</v>
      </c>
      <c r="B43" s="87">
        <v>750000</v>
      </c>
      <c r="C43" s="87">
        <v>330000</v>
      </c>
      <c r="D43" s="87">
        <v>306321.44</v>
      </c>
      <c r="E43" s="87">
        <v>306321.44</v>
      </c>
      <c r="F43" s="92">
        <f t="shared" si="7"/>
        <v>0.92824678787878789</v>
      </c>
      <c r="G43" s="92">
        <f t="shared" si="8"/>
        <v>0.40842858666666665</v>
      </c>
    </row>
    <row r="44" spans="1:7" ht="13.5" customHeight="1" outlineLevel="3" x14ac:dyDescent="0.25">
      <c r="A44" s="10" t="s">
        <v>12</v>
      </c>
      <c r="B44" s="87">
        <v>472000</v>
      </c>
      <c r="C44" s="87">
        <v>220000</v>
      </c>
      <c r="D44" s="87">
        <v>180494.47</v>
      </c>
      <c r="E44" s="87">
        <v>180494.47</v>
      </c>
      <c r="F44" s="92">
        <f t="shared" si="7"/>
        <v>0.82042940909090911</v>
      </c>
      <c r="G44" s="92">
        <f t="shared" si="8"/>
        <v>0.38240353813559325</v>
      </c>
    </row>
    <row r="45" spans="1:7" ht="13.5" customHeight="1" outlineLevel="3" x14ac:dyDescent="0.25">
      <c r="A45" s="10" t="s">
        <v>21</v>
      </c>
      <c r="B45" s="87">
        <v>18000</v>
      </c>
      <c r="C45" s="87">
        <v>7500</v>
      </c>
      <c r="D45" s="87">
        <v>6128</v>
      </c>
      <c r="E45" s="87">
        <v>6128</v>
      </c>
      <c r="F45" s="92">
        <f t="shared" si="7"/>
        <v>0.81706666666666672</v>
      </c>
      <c r="G45" s="92">
        <f t="shared" si="8"/>
        <v>0.34044444444444444</v>
      </c>
    </row>
    <row r="46" spans="1:7" ht="13.5" customHeight="1" outlineLevel="3" x14ac:dyDescent="0.25">
      <c r="A46" s="10" t="s">
        <v>13</v>
      </c>
      <c r="B46" s="87">
        <v>754444</v>
      </c>
      <c r="C46" s="87">
        <v>449843</v>
      </c>
      <c r="D46" s="87">
        <v>314699.90000000002</v>
      </c>
      <c r="E46" s="87">
        <v>314699.90000000002</v>
      </c>
      <c r="F46" s="92">
        <f t="shared" si="7"/>
        <v>0.69957718581816331</v>
      </c>
      <c r="G46" s="92">
        <f t="shared" si="8"/>
        <v>0.41712824278541549</v>
      </c>
    </row>
    <row r="47" spans="1:7" ht="13.5" customHeight="1" outlineLevel="3" x14ac:dyDescent="0.25">
      <c r="A47" s="10" t="s">
        <v>14</v>
      </c>
      <c r="B47" s="87">
        <v>26368</v>
      </c>
      <c r="C47" s="87">
        <v>11007</v>
      </c>
      <c r="D47" s="87">
        <v>8534.1</v>
      </c>
      <c r="E47" s="87">
        <v>8534.1</v>
      </c>
      <c r="F47" s="92">
        <f t="shared" si="7"/>
        <v>0.77533387844099211</v>
      </c>
      <c r="G47" s="92">
        <f t="shared" si="8"/>
        <v>0.32365367111650489</v>
      </c>
    </row>
    <row r="48" spans="1:7" ht="13.5" customHeight="1" outlineLevel="3" x14ac:dyDescent="0.25">
      <c r="A48" s="10" t="s">
        <v>15</v>
      </c>
      <c r="B48" s="87">
        <v>379500</v>
      </c>
      <c r="C48" s="87">
        <v>144375</v>
      </c>
      <c r="D48" s="87">
        <v>74463.58</v>
      </c>
      <c r="E48" s="87">
        <v>74463.58</v>
      </c>
      <c r="F48" s="92">
        <f t="shared" si="7"/>
        <v>0.51576505627705627</v>
      </c>
      <c r="G48" s="92">
        <f t="shared" si="8"/>
        <v>0.1962149670619236</v>
      </c>
    </row>
    <row r="49" spans="1:7" ht="13.5" customHeight="1" outlineLevel="3" x14ac:dyDescent="0.25">
      <c r="A49" s="10" t="s">
        <v>18</v>
      </c>
      <c r="B49" s="87">
        <v>59370</v>
      </c>
      <c r="C49" s="87">
        <v>24370</v>
      </c>
      <c r="D49" s="87">
        <v>9984</v>
      </c>
      <c r="E49" s="87">
        <v>9984</v>
      </c>
      <c r="F49" s="92">
        <f t="shared" si="7"/>
        <v>0.40968403775133361</v>
      </c>
      <c r="G49" s="92">
        <f t="shared" si="8"/>
        <v>0.16816574027286507</v>
      </c>
    </row>
    <row r="50" spans="1:7" s="78" customFormat="1" ht="24" customHeight="1" outlineLevel="2" x14ac:dyDescent="0.25">
      <c r="A50" s="8" t="s">
        <v>137</v>
      </c>
      <c r="B50" s="9">
        <v>13665938</v>
      </c>
      <c r="C50" s="9">
        <v>5089176</v>
      </c>
      <c r="D50" s="9">
        <v>4716478.38</v>
      </c>
      <c r="E50" s="9">
        <v>4716478.38</v>
      </c>
      <c r="F50" s="16">
        <f t="shared" si="7"/>
        <v>0.92676660818961654</v>
      </c>
      <c r="G50" s="16">
        <f t="shared" si="8"/>
        <v>0.34512657528520913</v>
      </c>
    </row>
    <row r="51" spans="1:7" ht="12.75" customHeight="1" outlineLevel="3" x14ac:dyDescent="0.25">
      <c r="A51" s="10" t="s">
        <v>9</v>
      </c>
      <c r="B51" s="87">
        <v>10508617</v>
      </c>
      <c r="C51" s="87">
        <v>3824646</v>
      </c>
      <c r="D51" s="87">
        <v>3625162.46</v>
      </c>
      <c r="E51" s="87">
        <v>3625162.46</v>
      </c>
      <c r="F51" s="92">
        <f t="shared" si="7"/>
        <v>0.94784261340788145</v>
      </c>
      <c r="G51" s="92">
        <f t="shared" si="8"/>
        <v>0.34497046186001451</v>
      </c>
    </row>
    <row r="52" spans="1:7" ht="12.75" customHeight="1" outlineLevel="3" x14ac:dyDescent="0.25">
      <c r="A52" s="10" t="s">
        <v>10</v>
      </c>
      <c r="B52" s="87">
        <v>2311896</v>
      </c>
      <c r="C52" s="87">
        <v>841420</v>
      </c>
      <c r="D52" s="87">
        <v>790995.99</v>
      </c>
      <c r="E52" s="87">
        <v>790995.99</v>
      </c>
      <c r="F52" s="92">
        <f t="shared" si="7"/>
        <v>0.94007272230277383</v>
      </c>
      <c r="G52" s="92">
        <f t="shared" si="8"/>
        <v>0.34214168370895576</v>
      </c>
    </row>
    <row r="53" spans="1:7" ht="12.75" customHeight="1" outlineLevel="3" x14ac:dyDescent="0.25">
      <c r="A53" s="10" t="s">
        <v>11</v>
      </c>
      <c r="B53" s="87">
        <v>168900</v>
      </c>
      <c r="C53" s="87">
        <v>98900</v>
      </c>
      <c r="D53" s="87">
        <v>81203.899999999994</v>
      </c>
      <c r="E53" s="87">
        <v>81203.899999999994</v>
      </c>
      <c r="F53" s="92">
        <f t="shared" si="7"/>
        <v>0.82107077856420618</v>
      </c>
      <c r="G53" s="92">
        <f t="shared" si="8"/>
        <v>0.48078093546477202</v>
      </c>
    </row>
    <row r="54" spans="1:7" ht="12.75" customHeight="1" outlineLevel="3" x14ac:dyDescent="0.25">
      <c r="A54" s="10" t="s">
        <v>12</v>
      </c>
      <c r="B54" s="87">
        <v>356300</v>
      </c>
      <c r="C54" s="87">
        <v>119950</v>
      </c>
      <c r="D54" s="87">
        <v>77170.559999999998</v>
      </c>
      <c r="E54" s="87">
        <v>77170.559999999998</v>
      </c>
      <c r="F54" s="92">
        <f t="shared" si="7"/>
        <v>0.64335606502709464</v>
      </c>
      <c r="G54" s="92">
        <f t="shared" si="8"/>
        <v>0.21658871737300028</v>
      </c>
    </row>
    <row r="55" spans="1:7" ht="12.75" customHeight="1" outlineLevel="3" x14ac:dyDescent="0.25">
      <c r="A55" s="10" t="s">
        <v>13</v>
      </c>
      <c r="B55" s="87">
        <v>67260</v>
      </c>
      <c r="C55" s="87">
        <v>41110</v>
      </c>
      <c r="D55" s="87">
        <v>11847.22</v>
      </c>
      <c r="E55" s="87">
        <v>11847.22</v>
      </c>
      <c r="F55" s="92">
        <f t="shared" si="7"/>
        <v>0.28818341036244222</v>
      </c>
      <c r="G55" s="92">
        <f t="shared" si="8"/>
        <v>0.17614064823074635</v>
      </c>
    </row>
    <row r="56" spans="1:7" ht="12.75" customHeight="1" outlineLevel="3" x14ac:dyDescent="0.25">
      <c r="A56" s="10" t="s">
        <v>14</v>
      </c>
      <c r="B56" s="87">
        <v>18005</v>
      </c>
      <c r="C56" s="87">
        <v>7500</v>
      </c>
      <c r="D56" s="87">
        <v>4535.26</v>
      </c>
      <c r="E56" s="87">
        <v>4535.26</v>
      </c>
      <c r="F56" s="92">
        <f t="shared" si="7"/>
        <v>0.60470133333333331</v>
      </c>
      <c r="G56" s="92">
        <f t="shared" si="8"/>
        <v>0.25188891974451544</v>
      </c>
    </row>
    <row r="57" spans="1:7" ht="12.75" customHeight="1" outlineLevel="3" x14ac:dyDescent="0.25">
      <c r="A57" s="10" t="s">
        <v>15</v>
      </c>
      <c r="B57" s="87">
        <v>135960</v>
      </c>
      <c r="C57" s="87">
        <v>56650</v>
      </c>
      <c r="D57" s="87">
        <v>47562.99</v>
      </c>
      <c r="E57" s="87">
        <v>47562.99</v>
      </c>
      <c r="F57" s="92">
        <f t="shared" si="7"/>
        <v>0.83959382171226826</v>
      </c>
      <c r="G57" s="92">
        <f t="shared" si="8"/>
        <v>0.34983075904677846</v>
      </c>
    </row>
    <row r="58" spans="1:7" ht="24.75" customHeight="1" outlineLevel="3" x14ac:dyDescent="0.25">
      <c r="A58" s="10" t="s">
        <v>56</v>
      </c>
      <c r="B58" s="87">
        <v>99000</v>
      </c>
      <c r="C58" s="87">
        <v>99000</v>
      </c>
      <c r="D58" s="87">
        <v>78000</v>
      </c>
      <c r="E58" s="87">
        <v>78000</v>
      </c>
      <c r="F58" s="92">
        <f t="shared" si="7"/>
        <v>0.78787878787878785</v>
      </c>
      <c r="G58" s="92">
        <f t="shared" si="8"/>
        <v>0.78787878787878785</v>
      </c>
    </row>
    <row r="59" spans="1:7" ht="25.5" customHeight="1" outlineLevel="2" x14ac:dyDescent="0.25">
      <c r="A59" s="5" t="s">
        <v>141</v>
      </c>
      <c r="B59" s="6">
        <v>5338301</v>
      </c>
      <c r="C59" s="6">
        <v>2084085</v>
      </c>
      <c r="D59" s="6">
        <v>1855791.46</v>
      </c>
      <c r="E59" s="6">
        <v>1855791.46</v>
      </c>
      <c r="F59" s="7">
        <f t="shared" si="7"/>
        <v>0.89045862332870296</v>
      </c>
      <c r="G59" s="7">
        <f t="shared" si="8"/>
        <v>0.34763709652190838</v>
      </c>
    </row>
    <row r="60" spans="1:7" ht="12.75" customHeight="1" outlineLevel="3" x14ac:dyDescent="0.25">
      <c r="A60" s="10" t="s">
        <v>9</v>
      </c>
      <c r="B60" s="87">
        <v>3991243</v>
      </c>
      <c r="C60" s="87">
        <v>1437630</v>
      </c>
      <c r="D60" s="87">
        <v>1303094.1100000001</v>
      </c>
      <c r="E60" s="87">
        <v>1303094.1100000001</v>
      </c>
      <c r="F60" s="92">
        <f t="shared" si="7"/>
        <v>0.90641827869479641</v>
      </c>
      <c r="G60" s="92">
        <f t="shared" si="8"/>
        <v>0.32648829199324625</v>
      </c>
    </row>
    <row r="61" spans="1:7" ht="12.75" customHeight="1" outlineLevel="3" x14ac:dyDescent="0.25">
      <c r="A61" s="10" t="s">
        <v>10</v>
      </c>
      <c r="B61" s="87">
        <v>878073</v>
      </c>
      <c r="C61" s="87">
        <v>316278</v>
      </c>
      <c r="D61" s="87">
        <v>286680.68</v>
      </c>
      <c r="E61" s="87">
        <v>286680.68</v>
      </c>
      <c r="F61" s="92">
        <f t="shared" si="7"/>
        <v>0.90641992171444108</v>
      </c>
      <c r="G61" s="92">
        <f t="shared" si="8"/>
        <v>0.32648843547176598</v>
      </c>
    </row>
    <row r="62" spans="1:7" ht="12.75" customHeight="1" outlineLevel="3" x14ac:dyDescent="0.25">
      <c r="A62" s="10" t="s">
        <v>11</v>
      </c>
      <c r="B62" s="87">
        <v>134700</v>
      </c>
      <c r="C62" s="87">
        <v>134700</v>
      </c>
      <c r="D62" s="87">
        <v>111031</v>
      </c>
      <c r="E62" s="87">
        <v>111031</v>
      </c>
      <c r="F62" s="92">
        <f t="shared" si="7"/>
        <v>0.82428359317000743</v>
      </c>
      <c r="G62" s="92">
        <f t="shared" si="8"/>
        <v>0.82428359317000743</v>
      </c>
    </row>
    <row r="63" spans="1:7" ht="12.75" customHeight="1" outlineLevel="3" x14ac:dyDescent="0.25">
      <c r="A63" s="10" t="s">
        <v>12</v>
      </c>
      <c r="B63" s="87">
        <v>159327</v>
      </c>
      <c r="C63" s="87">
        <v>52727</v>
      </c>
      <c r="D63" s="87">
        <v>30665.5</v>
      </c>
      <c r="E63" s="87">
        <v>30665.5</v>
      </c>
      <c r="F63" s="92">
        <f t="shared" si="7"/>
        <v>0.5815900771900544</v>
      </c>
      <c r="G63" s="92">
        <f t="shared" si="8"/>
        <v>0.19246894751046589</v>
      </c>
    </row>
    <row r="64" spans="1:7" ht="12.75" customHeight="1" outlineLevel="3" x14ac:dyDescent="0.25">
      <c r="A64" s="10" t="s">
        <v>13</v>
      </c>
      <c r="B64" s="87">
        <v>25209</v>
      </c>
      <c r="C64" s="87">
        <v>20700</v>
      </c>
      <c r="D64" s="87">
        <v>8505.15</v>
      </c>
      <c r="E64" s="87">
        <v>8505.15</v>
      </c>
      <c r="F64" s="92">
        <f t="shared" si="7"/>
        <v>0.41087681159420286</v>
      </c>
      <c r="G64" s="92">
        <f t="shared" si="8"/>
        <v>0.3373854575746757</v>
      </c>
    </row>
    <row r="65" spans="1:7" ht="12.75" customHeight="1" outlineLevel="3" x14ac:dyDescent="0.25">
      <c r="A65" s="10" t="s">
        <v>14</v>
      </c>
      <c r="B65" s="87">
        <v>3449</v>
      </c>
      <c r="C65" s="87">
        <v>1750</v>
      </c>
      <c r="D65" s="87">
        <v>1059.02</v>
      </c>
      <c r="E65" s="87">
        <v>1059.02</v>
      </c>
      <c r="F65" s="92">
        <f t="shared" si="7"/>
        <v>0.60515428571428576</v>
      </c>
      <c r="G65" s="92">
        <f t="shared" si="8"/>
        <v>0.30705131922296319</v>
      </c>
    </row>
    <row r="66" spans="1:7" ht="12.75" customHeight="1" outlineLevel="3" x14ac:dyDescent="0.25">
      <c r="A66" s="10" t="s">
        <v>15</v>
      </c>
      <c r="B66" s="87">
        <v>45100</v>
      </c>
      <c r="C66" s="87">
        <v>19100</v>
      </c>
      <c r="D66" s="87">
        <v>14757</v>
      </c>
      <c r="E66" s="87">
        <v>14757</v>
      </c>
      <c r="F66" s="92">
        <f t="shared" si="7"/>
        <v>0.77261780104712041</v>
      </c>
      <c r="G66" s="92">
        <f t="shared" si="8"/>
        <v>0.32720620842572062</v>
      </c>
    </row>
    <row r="67" spans="1:7" ht="27" customHeight="1" outlineLevel="3" x14ac:dyDescent="0.25">
      <c r="A67" s="10" t="s">
        <v>56</v>
      </c>
      <c r="B67" s="87">
        <v>101200</v>
      </c>
      <c r="C67" s="87">
        <v>101200</v>
      </c>
      <c r="D67" s="87">
        <v>99999</v>
      </c>
      <c r="E67" s="87">
        <v>99999</v>
      </c>
      <c r="F67" s="92">
        <f t="shared" si="7"/>
        <v>0.98813241106719363</v>
      </c>
      <c r="G67" s="92">
        <f t="shared" si="8"/>
        <v>0.98813241106719363</v>
      </c>
    </row>
    <row r="68" spans="1:7" s="78" customFormat="1" ht="28.5" customHeight="1" outlineLevel="2" x14ac:dyDescent="0.25">
      <c r="A68" s="8" t="s">
        <v>23</v>
      </c>
      <c r="B68" s="9">
        <v>19811790</v>
      </c>
      <c r="C68" s="9">
        <v>7297228</v>
      </c>
      <c r="D68" s="9">
        <v>6560553.3399999999</v>
      </c>
      <c r="E68" s="9">
        <v>6560553.3399999999</v>
      </c>
      <c r="F68" s="16">
        <f t="shared" si="7"/>
        <v>0.89904732865685433</v>
      </c>
      <c r="G68" s="16">
        <f t="shared" si="8"/>
        <v>0.33114389663932436</v>
      </c>
    </row>
    <row r="69" spans="1:7" ht="14.25" customHeight="1" outlineLevel="3" x14ac:dyDescent="0.25">
      <c r="A69" s="10" t="s">
        <v>9</v>
      </c>
      <c r="B69" s="87">
        <v>16226877</v>
      </c>
      <c r="C69" s="87">
        <v>5969039</v>
      </c>
      <c r="D69" s="87">
        <v>5379657.71</v>
      </c>
      <c r="E69" s="87">
        <v>5379657.71</v>
      </c>
      <c r="F69" s="92">
        <f t="shared" si="7"/>
        <v>0.90126027154454846</v>
      </c>
      <c r="G69" s="92">
        <f t="shared" si="8"/>
        <v>0.33152760756120847</v>
      </c>
    </row>
    <row r="70" spans="1:7" ht="14.25" customHeight="1" outlineLevel="3" x14ac:dyDescent="0.25">
      <c r="A70" s="10" t="s">
        <v>10</v>
      </c>
      <c r="B70" s="87">
        <v>3569913</v>
      </c>
      <c r="C70" s="87">
        <v>1313189</v>
      </c>
      <c r="D70" s="87">
        <v>1180895.6299999999</v>
      </c>
      <c r="E70" s="87">
        <v>1180895.6299999999</v>
      </c>
      <c r="F70" s="92">
        <f t="shared" si="7"/>
        <v>0.89925793621481742</v>
      </c>
      <c r="G70" s="92">
        <f t="shared" si="8"/>
        <v>0.33079115093280981</v>
      </c>
    </row>
    <row r="71" spans="1:7" ht="14.25" customHeight="1" outlineLevel="3" x14ac:dyDescent="0.25">
      <c r="A71" s="10" t="s">
        <v>11</v>
      </c>
      <c r="B71" s="87">
        <v>15000</v>
      </c>
      <c r="C71" s="87">
        <v>15000</v>
      </c>
      <c r="D71" s="89"/>
      <c r="E71" s="89"/>
      <c r="F71" s="92">
        <f t="shared" ref="F71:F128" si="9">D71/C71</f>
        <v>0</v>
      </c>
      <c r="G71" s="92">
        <f t="shared" ref="G71:G128" si="10">D71/B71</f>
        <v>0</v>
      </c>
    </row>
    <row r="72" spans="1:7" s="78" customFormat="1" ht="25.5" customHeight="1" outlineLevel="2" x14ac:dyDescent="0.25">
      <c r="A72" s="8" t="s">
        <v>24</v>
      </c>
      <c r="B72" s="9">
        <v>20021001</v>
      </c>
      <c r="C72" s="9">
        <v>7848187</v>
      </c>
      <c r="D72" s="9">
        <v>6711718.9299999997</v>
      </c>
      <c r="E72" s="9">
        <v>6711718.9299999997</v>
      </c>
      <c r="F72" s="16">
        <f t="shared" si="9"/>
        <v>0.85519355361945371</v>
      </c>
      <c r="G72" s="16">
        <f t="shared" si="10"/>
        <v>0.33523393410749042</v>
      </c>
    </row>
    <row r="73" spans="1:7" ht="12.75" customHeight="1" outlineLevel="3" x14ac:dyDescent="0.25">
      <c r="A73" s="10" t="s">
        <v>9</v>
      </c>
      <c r="B73" s="87">
        <v>14252032</v>
      </c>
      <c r="C73" s="87">
        <v>5283071</v>
      </c>
      <c r="D73" s="87">
        <v>4785365.8499999996</v>
      </c>
      <c r="E73" s="87">
        <v>4785365.8499999996</v>
      </c>
      <c r="F73" s="92">
        <f t="shared" si="9"/>
        <v>0.90579245480516912</v>
      </c>
      <c r="G73" s="92">
        <f t="shared" si="10"/>
        <v>0.33576726813411589</v>
      </c>
    </row>
    <row r="74" spans="1:7" ht="12.75" customHeight="1" outlineLevel="3" x14ac:dyDescent="0.25">
      <c r="A74" s="10" t="s">
        <v>10</v>
      </c>
      <c r="B74" s="87">
        <v>3135447</v>
      </c>
      <c r="C74" s="87">
        <v>1182966</v>
      </c>
      <c r="D74" s="87">
        <v>1078932.5900000001</v>
      </c>
      <c r="E74" s="87">
        <v>1078932.5900000001</v>
      </c>
      <c r="F74" s="92">
        <f t="shared" si="9"/>
        <v>0.91205714280883821</v>
      </c>
      <c r="G74" s="92">
        <f t="shared" si="10"/>
        <v>0.34410806178512987</v>
      </c>
    </row>
    <row r="75" spans="1:7" ht="12.75" customHeight="1" outlineLevel="3" x14ac:dyDescent="0.25">
      <c r="A75" s="10" t="s">
        <v>11</v>
      </c>
      <c r="B75" s="87">
        <v>334791</v>
      </c>
      <c r="C75" s="87">
        <v>126191</v>
      </c>
      <c r="D75" s="87">
        <v>20120</v>
      </c>
      <c r="E75" s="87">
        <v>20120</v>
      </c>
      <c r="F75" s="92">
        <f t="shared" si="9"/>
        <v>0.15944084760402882</v>
      </c>
      <c r="G75" s="92">
        <f t="shared" si="10"/>
        <v>6.0097194966411881E-2</v>
      </c>
    </row>
    <row r="76" spans="1:7" ht="12.75" customHeight="1" outlineLevel="3" x14ac:dyDescent="0.25">
      <c r="A76" s="10" t="s">
        <v>12</v>
      </c>
      <c r="B76" s="87">
        <v>770000</v>
      </c>
      <c r="C76" s="87">
        <v>321300</v>
      </c>
      <c r="D76" s="87">
        <v>303114.09999999998</v>
      </c>
      <c r="E76" s="87">
        <v>303114.09999999998</v>
      </c>
      <c r="F76" s="92">
        <f t="shared" si="9"/>
        <v>0.94339900404606281</v>
      </c>
      <c r="G76" s="92">
        <f t="shared" si="10"/>
        <v>0.3936546753246753</v>
      </c>
    </row>
    <row r="77" spans="1:7" ht="12.75" customHeight="1" outlineLevel="3" x14ac:dyDescent="0.25">
      <c r="A77" s="10" t="s">
        <v>13</v>
      </c>
      <c r="B77" s="87">
        <v>716049</v>
      </c>
      <c r="C77" s="87">
        <v>362025</v>
      </c>
      <c r="D77" s="87">
        <v>77627.34</v>
      </c>
      <c r="E77" s="87">
        <v>77627.34</v>
      </c>
      <c r="F77" s="92">
        <f t="shared" si="9"/>
        <v>0.21442535736482285</v>
      </c>
      <c r="G77" s="92">
        <f t="shared" si="10"/>
        <v>0.10841065346086649</v>
      </c>
    </row>
    <row r="78" spans="1:7" ht="12.75" customHeight="1" outlineLevel="3" x14ac:dyDescent="0.25">
      <c r="A78" s="10" t="s">
        <v>14</v>
      </c>
      <c r="B78" s="87">
        <v>67269</v>
      </c>
      <c r="C78" s="87">
        <v>30942</v>
      </c>
      <c r="D78" s="87">
        <v>7472</v>
      </c>
      <c r="E78" s="87">
        <v>7472</v>
      </c>
      <c r="F78" s="92">
        <f t="shared" si="9"/>
        <v>0.24148406696399716</v>
      </c>
      <c r="G78" s="92">
        <f t="shared" si="10"/>
        <v>0.11107642450460094</v>
      </c>
    </row>
    <row r="79" spans="1:7" ht="12.75" customHeight="1" outlineLevel="3" x14ac:dyDescent="0.25">
      <c r="A79" s="10" t="s">
        <v>15</v>
      </c>
      <c r="B79" s="87">
        <v>557095</v>
      </c>
      <c r="C79" s="87">
        <v>353374</v>
      </c>
      <c r="D79" s="87">
        <v>315406.71000000002</v>
      </c>
      <c r="E79" s="87">
        <v>315406.71000000002</v>
      </c>
      <c r="F79" s="92">
        <f t="shared" si="9"/>
        <v>0.89255777165269667</v>
      </c>
      <c r="G79" s="92">
        <f t="shared" si="10"/>
        <v>0.56616323966289417</v>
      </c>
    </row>
    <row r="80" spans="1:7" ht="12.75" customHeight="1" outlineLevel="3" x14ac:dyDescent="0.25">
      <c r="A80" s="10" t="s">
        <v>18</v>
      </c>
      <c r="B80" s="87">
        <v>38318</v>
      </c>
      <c r="C80" s="87">
        <v>38318</v>
      </c>
      <c r="D80" s="87">
        <v>24080.34</v>
      </c>
      <c r="E80" s="87">
        <v>24080.34</v>
      </c>
      <c r="F80" s="92">
        <f t="shared" si="9"/>
        <v>0.62843415627120414</v>
      </c>
      <c r="G80" s="92">
        <f t="shared" si="10"/>
        <v>0.62843415627120414</v>
      </c>
    </row>
    <row r="81" spans="1:8" ht="28.5" customHeight="1" outlineLevel="3" x14ac:dyDescent="0.25">
      <c r="A81" s="10" t="s">
        <v>56</v>
      </c>
      <c r="B81" s="87">
        <v>150000</v>
      </c>
      <c r="C81" s="87">
        <v>150000</v>
      </c>
      <c r="D81" s="87">
        <v>99600</v>
      </c>
      <c r="E81" s="87">
        <v>99600</v>
      </c>
      <c r="F81" s="92">
        <f t="shared" si="9"/>
        <v>0.66400000000000003</v>
      </c>
      <c r="G81" s="92">
        <f t="shared" si="10"/>
        <v>0.66400000000000003</v>
      </c>
    </row>
    <row r="82" spans="1:8" s="78" customFormat="1" ht="27" customHeight="1" outlineLevel="2" x14ac:dyDescent="0.25">
      <c r="A82" s="8" t="s">
        <v>138</v>
      </c>
      <c r="B82" s="9">
        <v>5018770</v>
      </c>
      <c r="C82" s="9">
        <v>1752295</v>
      </c>
      <c r="D82" s="9">
        <v>1450952.59</v>
      </c>
      <c r="E82" s="9">
        <v>1450952.59</v>
      </c>
      <c r="F82" s="16">
        <f t="shared" si="9"/>
        <v>0.82802986369304266</v>
      </c>
      <c r="G82" s="16">
        <f t="shared" si="10"/>
        <v>0.28910521701532449</v>
      </c>
    </row>
    <row r="83" spans="1:8" ht="12.75" customHeight="1" outlineLevel="3" x14ac:dyDescent="0.25">
      <c r="A83" s="10" t="s">
        <v>9</v>
      </c>
      <c r="B83" s="87">
        <v>3828716</v>
      </c>
      <c r="C83" s="87">
        <v>1324847</v>
      </c>
      <c r="D83" s="87">
        <v>1151950.95</v>
      </c>
      <c r="E83" s="87">
        <v>1151950.95</v>
      </c>
      <c r="F83" s="92">
        <f t="shared" si="9"/>
        <v>0.86949734573124293</v>
      </c>
      <c r="G83" s="92">
        <f t="shared" si="10"/>
        <v>0.30087134955948674</v>
      </c>
    </row>
    <row r="84" spans="1:8" ht="12.75" customHeight="1" outlineLevel="3" x14ac:dyDescent="0.25">
      <c r="A84" s="10" t="s">
        <v>10</v>
      </c>
      <c r="B84" s="87">
        <v>842318</v>
      </c>
      <c r="C84" s="87">
        <v>291465</v>
      </c>
      <c r="D84" s="87">
        <v>253429.23</v>
      </c>
      <c r="E84" s="87">
        <v>253429.23</v>
      </c>
      <c r="F84" s="92">
        <f t="shared" si="9"/>
        <v>0.8695014152642685</v>
      </c>
      <c r="G84" s="92">
        <f t="shared" si="10"/>
        <v>0.30087120303733272</v>
      </c>
    </row>
    <row r="85" spans="1:8" ht="12.75" customHeight="1" outlineLevel="3" x14ac:dyDescent="0.25">
      <c r="A85" s="10" t="s">
        <v>11</v>
      </c>
      <c r="B85" s="87">
        <v>50000</v>
      </c>
      <c r="C85" s="87">
        <v>50000</v>
      </c>
      <c r="D85" s="87">
        <v>19200</v>
      </c>
      <c r="E85" s="87">
        <v>19200</v>
      </c>
      <c r="F85" s="92">
        <f t="shared" si="9"/>
        <v>0.38400000000000001</v>
      </c>
      <c r="G85" s="92">
        <f t="shared" si="10"/>
        <v>0.38400000000000001</v>
      </c>
    </row>
    <row r="86" spans="1:8" ht="12.75" customHeight="1" outlineLevel="3" x14ac:dyDescent="0.25">
      <c r="A86" s="10" t="s">
        <v>12</v>
      </c>
      <c r="B86" s="87">
        <v>233100</v>
      </c>
      <c r="C86" s="87">
        <v>50000</v>
      </c>
      <c r="D86" s="87">
        <v>15519.92</v>
      </c>
      <c r="E86" s="87">
        <v>15519.92</v>
      </c>
      <c r="F86" s="92">
        <f t="shared" si="9"/>
        <v>0.31039840000000002</v>
      </c>
      <c r="G86" s="92">
        <f t="shared" si="10"/>
        <v>6.6580523380523379E-2</v>
      </c>
    </row>
    <row r="87" spans="1:8" ht="12.75" customHeight="1" outlineLevel="3" x14ac:dyDescent="0.25">
      <c r="A87" s="10" t="s">
        <v>13</v>
      </c>
      <c r="B87" s="87">
        <v>24673</v>
      </c>
      <c r="C87" s="87">
        <v>15072</v>
      </c>
      <c r="D87" s="89"/>
      <c r="E87" s="89"/>
      <c r="F87" s="92">
        <f t="shared" si="9"/>
        <v>0</v>
      </c>
      <c r="G87" s="92">
        <f t="shared" si="10"/>
        <v>0</v>
      </c>
    </row>
    <row r="88" spans="1:8" ht="12.75" customHeight="1" outlineLevel="3" x14ac:dyDescent="0.25">
      <c r="A88" s="10" t="s">
        <v>14</v>
      </c>
      <c r="B88" s="87">
        <v>2615</v>
      </c>
      <c r="C88" s="87">
        <v>1141</v>
      </c>
      <c r="D88" s="87">
        <v>1112.99</v>
      </c>
      <c r="E88" s="87">
        <v>1112.99</v>
      </c>
      <c r="F88" s="92">
        <f t="shared" si="9"/>
        <v>0.97545135845749342</v>
      </c>
      <c r="G88" s="92">
        <f t="shared" si="10"/>
        <v>0.42561759082217976</v>
      </c>
    </row>
    <row r="89" spans="1:8" ht="12.75" customHeight="1" outlineLevel="3" x14ac:dyDescent="0.25">
      <c r="A89" s="10" t="s">
        <v>15</v>
      </c>
      <c r="B89" s="87">
        <v>28500</v>
      </c>
      <c r="C89" s="87">
        <v>12000</v>
      </c>
      <c r="D89" s="87">
        <v>8969.52</v>
      </c>
      <c r="E89" s="87">
        <v>8969.52</v>
      </c>
      <c r="F89" s="92">
        <f t="shared" si="9"/>
        <v>0.74746000000000001</v>
      </c>
      <c r="G89" s="92">
        <f t="shared" si="10"/>
        <v>0.31472</v>
      </c>
    </row>
    <row r="90" spans="1:8" ht="12.75" customHeight="1" outlineLevel="3" x14ac:dyDescent="0.25">
      <c r="A90" s="10" t="s">
        <v>26</v>
      </c>
      <c r="B90" s="87">
        <v>1848</v>
      </c>
      <c r="C90" s="87">
        <v>770</v>
      </c>
      <c r="D90" s="88">
        <v>769.98</v>
      </c>
      <c r="E90" s="88">
        <v>769.98</v>
      </c>
      <c r="F90" s="92">
        <f t="shared" si="9"/>
        <v>0.99997402597402596</v>
      </c>
      <c r="G90" s="92">
        <f t="shared" si="10"/>
        <v>0.41665584415584417</v>
      </c>
    </row>
    <row r="91" spans="1:8" ht="26.25" customHeight="1" outlineLevel="3" x14ac:dyDescent="0.25">
      <c r="A91" s="10" t="s">
        <v>16</v>
      </c>
      <c r="B91" s="87">
        <v>7000</v>
      </c>
      <c r="C91" s="87">
        <v>7000</v>
      </c>
      <c r="D91" s="89"/>
      <c r="E91" s="89"/>
      <c r="F91" s="92">
        <f t="shared" si="9"/>
        <v>0</v>
      </c>
      <c r="G91" s="92">
        <f t="shared" si="10"/>
        <v>0</v>
      </c>
    </row>
    <row r="92" spans="1:8" s="27" customFormat="1" ht="18" customHeight="1" outlineLevel="3" x14ac:dyDescent="0.2">
      <c r="A92" s="24" t="s">
        <v>27</v>
      </c>
      <c r="B92" s="25">
        <f>B93+B139+B200+B215+B239+B276+B280+B287+B324+B344+B355+B358+B377+B384+B403+B406+B425</f>
        <v>3965443990</v>
      </c>
      <c r="C92" s="25">
        <f t="shared" ref="C92:E92" si="11">C93+C139+C200+C215+C239+C276+C280+C287+C324+C344+C355+C358+C377+C384+C403+C406+C425</f>
        <v>1903585872</v>
      </c>
      <c r="D92" s="25">
        <f t="shared" si="11"/>
        <v>1717766946.01</v>
      </c>
      <c r="E92" s="25">
        <f t="shared" si="11"/>
        <v>1672081959.9700003</v>
      </c>
      <c r="F92" s="26">
        <f t="shared" si="9"/>
        <v>0.90238479454842269</v>
      </c>
      <c r="G92" s="26">
        <f t="shared" si="10"/>
        <v>0.43318401428486702</v>
      </c>
      <c r="H92" s="85"/>
    </row>
    <row r="93" spans="1:8" ht="18" customHeight="1" outlineLevel="1" x14ac:dyDescent="0.25">
      <c r="A93" s="28" t="s">
        <v>65</v>
      </c>
      <c r="B93" s="93">
        <f>B94+B105+B115+B126</f>
        <v>1228853538</v>
      </c>
      <c r="C93" s="93">
        <f t="shared" ref="C93:E93" si="12">C94+C105+C115+C126</f>
        <v>518559352</v>
      </c>
      <c r="D93" s="93">
        <f t="shared" si="12"/>
        <v>486570201.88</v>
      </c>
      <c r="E93" s="93">
        <f t="shared" si="12"/>
        <v>486568201.88</v>
      </c>
      <c r="F93" s="94">
        <f t="shared" si="9"/>
        <v>0.93831149704151895</v>
      </c>
      <c r="G93" s="94">
        <f t="shared" si="10"/>
        <v>0.395954592499208</v>
      </c>
    </row>
    <row r="94" spans="1:8" s="78" customFormat="1" ht="30" customHeight="1" outlineLevel="2" x14ac:dyDescent="0.25">
      <c r="A94" s="8" t="s">
        <v>28</v>
      </c>
      <c r="B94" s="9">
        <v>11702620</v>
      </c>
      <c r="C94" s="9">
        <v>4487282</v>
      </c>
      <c r="D94" s="9">
        <v>4165533.56</v>
      </c>
      <c r="E94" s="9">
        <v>4165533.56</v>
      </c>
      <c r="F94" s="16">
        <f t="shared" si="9"/>
        <v>0.92829770003311585</v>
      </c>
      <c r="G94" s="16">
        <f t="shared" si="10"/>
        <v>0.35594880120861827</v>
      </c>
    </row>
    <row r="95" spans="1:8" ht="14.25" customHeight="1" outlineLevel="3" x14ac:dyDescent="0.25">
      <c r="A95" s="10" t="s">
        <v>9</v>
      </c>
      <c r="B95" s="87">
        <v>8373841</v>
      </c>
      <c r="C95" s="87">
        <v>3170000</v>
      </c>
      <c r="D95" s="87">
        <v>3164219.01</v>
      </c>
      <c r="E95" s="87">
        <v>3164219.01</v>
      </c>
      <c r="F95" s="92">
        <f t="shared" si="9"/>
        <v>0.99817634384858034</v>
      </c>
      <c r="G95" s="92">
        <f t="shared" si="10"/>
        <v>0.37786948784912439</v>
      </c>
    </row>
    <row r="96" spans="1:8" ht="14.25" customHeight="1" outlineLevel="3" x14ac:dyDescent="0.25">
      <c r="A96" s="10" t="s">
        <v>10</v>
      </c>
      <c r="B96" s="87">
        <v>1842245</v>
      </c>
      <c r="C96" s="87">
        <v>697400</v>
      </c>
      <c r="D96" s="87">
        <v>675216.98</v>
      </c>
      <c r="E96" s="87">
        <v>675216.98</v>
      </c>
      <c r="F96" s="92">
        <f t="shared" si="9"/>
        <v>0.9681918267852021</v>
      </c>
      <c r="G96" s="92">
        <f t="shared" si="10"/>
        <v>0.36651855752085089</v>
      </c>
    </row>
    <row r="97" spans="1:7" ht="14.25" customHeight="1" outlineLevel="3" x14ac:dyDescent="0.25">
      <c r="A97" s="10" t="s">
        <v>11</v>
      </c>
      <c r="B97" s="87">
        <v>101356</v>
      </c>
      <c r="C97" s="87"/>
      <c r="D97" s="89"/>
      <c r="E97" s="89"/>
      <c r="F97" s="92">
        <v>0</v>
      </c>
      <c r="G97" s="92">
        <f t="shared" si="10"/>
        <v>0</v>
      </c>
    </row>
    <row r="98" spans="1:7" ht="14.25" customHeight="1" outlineLevel="3" x14ac:dyDescent="0.25">
      <c r="A98" s="10" t="s">
        <v>29</v>
      </c>
      <c r="B98" s="87">
        <v>5217</v>
      </c>
      <c r="C98" s="87">
        <v>5217</v>
      </c>
      <c r="D98" s="89"/>
      <c r="E98" s="89"/>
      <c r="F98" s="92">
        <f t="shared" si="9"/>
        <v>0</v>
      </c>
      <c r="G98" s="92">
        <f t="shared" si="10"/>
        <v>0</v>
      </c>
    </row>
    <row r="99" spans="1:7" ht="14.25" customHeight="1" outlineLevel="3" x14ac:dyDescent="0.25">
      <c r="A99" s="10" t="s">
        <v>12</v>
      </c>
      <c r="B99" s="87">
        <v>280248</v>
      </c>
      <c r="C99" s="87">
        <v>101702</v>
      </c>
      <c r="D99" s="87">
        <v>16976</v>
      </c>
      <c r="E99" s="87">
        <v>16976</v>
      </c>
      <c r="F99" s="92">
        <f t="shared" si="9"/>
        <v>0.16691903797368784</v>
      </c>
      <c r="G99" s="92">
        <f t="shared" si="10"/>
        <v>6.0574919357140815E-2</v>
      </c>
    </row>
    <row r="100" spans="1:7" ht="14.25" customHeight="1" outlineLevel="3" x14ac:dyDescent="0.25">
      <c r="A100" s="10" t="s">
        <v>13</v>
      </c>
      <c r="B100" s="87">
        <v>643020</v>
      </c>
      <c r="C100" s="87">
        <v>280000</v>
      </c>
      <c r="D100" s="87">
        <v>107484.24</v>
      </c>
      <c r="E100" s="87">
        <v>107484.24</v>
      </c>
      <c r="F100" s="92">
        <f t="shared" si="9"/>
        <v>0.38387228571428572</v>
      </c>
      <c r="G100" s="92">
        <f t="shared" si="10"/>
        <v>0.1671553606419707</v>
      </c>
    </row>
    <row r="101" spans="1:7" ht="14.25" customHeight="1" outlineLevel="3" x14ac:dyDescent="0.25">
      <c r="A101" s="10" t="s">
        <v>14</v>
      </c>
      <c r="B101" s="87">
        <v>45298</v>
      </c>
      <c r="C101" s="87">
        <v>42298</v>
      </c>
      <c r="D101" s="87">
        <v>32083.57</v>
      </c>
      <c r="E101" s="87">
        <v>32083.57</v>
      </c>
      <c r="F101" s="92">
        <f t="shared" si="9"/>
        <v>0.75851269563572743</v>
      </c>
      <c r="G101" s="92">
        <f t="shared" si="10"/>
        <v>0.70827784891165169</v>
      </c>
    </row>
    <row r="102" spans="1:7" ht="14.25" customHeight="1" outlineLevel="3" x14ac:dyDescent="0.25">
      <c r="A102" s="10" t="s">
        <v>15</v>
      </c>
      <c r="B102" s="87">
        <v>390000</v>
      </c>
      <c r="C102" s="87">
        <v>180000</v>
      </c>
      <c r="D102" s="87">
        <v>164141</v>
      </c>
      <c r="E102" s="87">
        <v>164141</v>
      </c>
      <c r="F102" s="92">
        <f t="shared" si="9"/>
        <v>0.91189444444444445</v>
      </c>
      <c r="G102" s="92">
        <f t="shared" si="10"/>
        <v>0.42087435897435899</v>
      </c>
    </row>
    <row r="103" spans="1:7" ht="14.25" customHeight="1" outlineLevel="3" x14ac:dyDescent="0.25">
      <c r="A103" s="10" t="s">
        <v>26</v>
      </c>
      <c r="B103" s="87">
        <v>18395</v>
      </c>
      <c r="C103" s="87">
        <v>7665</v>
      </c>
      <c r="D103" s="87">
        <v>5412.76</v>
      </c>
      <c r="E103" s="87">
        <v>5412.76</v>
      </c>
      <c r="F103" s="92">
        <f t="shared" si="9"/>
        <v>0.70616568819308545</v>
      </c>
      <c r="G103" s="92">
        <f t="shared" si="10"/>
        <v>0.29425169883120417</v>
      </c>
    </row>
    <row r="104" spans="1:7" ht="28.5" customHeight="1" outlineLevel="3" x14ac:dyDescent="0.25">
      <c r="A104" s="10" t="s">
        <v>16</v>
      </c>
      <c r="B104" s="87">
        <v>3000</v>
      </c>
      <c r="C104" s="87">
        <v>3000</v>
      </c>
      <c r="D104" s="89"/>
      <c r="E104" s="89"/>
      <c r="F104" s="92">
        <f t="shared" si="9"/>
        <v>0</v>
      </c>
      <c r="G104" s="92">
        <f t="shared" si="10"/>
        <v>0</v>
      </c>
    </row>
    <row r="105" spans="1:7" s="78" customFormat="1" ht="19.5" customHeight="1" outlineLevel="2" x14ac:dyDescent="0.25">
      <c r="A105" s="8" t="s">
        <v>30</v>
      </c>
      <c r="B105" s="9">
        <v>17985549</v>
      </c>
      <c r="C105" s="9">
        <v>8981289</v>
      </c>
      <c r="D105" s="9">
        <v>8790976.5299999993</v>
      </c>
      <c r="E105" s="9">
        <v>8790976.5299999993</v>
      </c>
      <c r="F105" s="16">
        <f t="shared" si="9"/>
        <v>0.97881011623164549</v>
      </c>
      <c r="G105" s="16">
        <f t="shared" si="10"/>
        <v>0.48877999387174664</v>
      </c>
    </row>
    <row r="106" spans="1:7" ht="14.25" customHeight="1" outlineLevel="3" x14ac:dyDescent="0.25">
      <c r="A106" s="10" t="s">
        <v>9</v>
      </c>
      <c r="B106" s="87">
        <v>12922401</v>
      </c>
      <c r="C106" s="87">
        <v>6300000</v>
      </c>
      <c r="D106" s="87">
        <v>6299323.7999999998</v>
      </c>
      <c r="E106" s="87">
        <v>6299323.7999999998</v>
      </c>
      <c r="F106" s="92">
        <f t="shared" si="9"/>
        <v>0.99989266666666665</v>
      </c>
      <c r="G106" s="92">
        <f t="shared" si="10"/>
        <v>0.48747317158784964</v>
      </c>
    </row>
    <row r="107" spans="1:7" ht="14.25" customHeight="1" outlineLevel="3" x14ac:dyDescent="0.25">
      <c r="A107" s="10" t="s">
        <v>10</v>
      </c>
      <c r="B107" s="87">
        <v>2842928</v>
      </c>
      <c r="C107" s="87">
        <v>1386000</v>
      </c>
      <c r="D107" s="87">
        <v>1385958.03</v>
      </c>
      <c r="E107" s="87">
        <v>1385958.03</v>
      </c>
      <c r="F107" s="92">
        <f t="shared" si="9"/>
        <v>0.99996971861471862</v>
      </c>
      <c r="G107" s="92">
        <f t="shared" si="10"/>
        <v>0.48751077410331883</v>
      </c>
    </row>
    <row r="108" spans="1:7" ht="14.25" customHeight="1" outlineLevel="3" x14ac:dyDescent="0.25">
      <c r="A108" s="10" t="s">
        <v>11</v>
      </c>
      <c r="B108" s="87">
        <v>25228</v>
      </c>
      <c r="C108" s="87">
        <v>25228</v>
      </c>
      <c r="D108" s="89"/>
      <c r="E108" s="89"/>
      <c r="F108" s="92">
        <f t="shared" si="9"/>
        <v>0</v>
      </c>
      <c r="G108" s="92">
        <f t="shared" si="10"/>
        <v>0</v>
      </c>
    </row>
    <row r="109" spans="1:7" ht="14.25" customHeight="1" outlineLevel="3" x14ac:dyDescent="0.25">
      <c r="A109" s="10" t="s">
        <v>29</v>
      </c>
      <c r="B109" s="87">
        <v>5228</v>
      </c>
      <c r="C109" s="87">
        <v>5228</v>
      </c>
      <c r="D109" s="89"/>
      <c r="E109" s="89"/>
      <c r="F109" s="92">
        <f t="shared" si="9"/>
        <v>0</v>
      </c>
      <c r="G109" s="92">
        <f t="shared" si="10"/>
        <v>0</v>
      </c>
    </row>
    <row r="110" spans="1:7" ht="14.25" customHeight="1" outlineLevel="3" x14ac:dyDescent="0.25">
      <c r="A110" s="10" t="s">
        <v>12</v>
      </c>
      <c r="B110" s="87">
        <v>681846</v>
      </c>
      <c r="C110" s="87">
        <v>613946</v>
      </c>
      <c r="D110" s="87">
        <v>458896.04</v>
      </c>
      <c r="E110" s="87">
        <v>458896.04</v>
      </c>
      <c r="F110" s="92">
        <f t="shared" si="9"/>
        <v>0.74745342424252292</v>
      </c>
      <c r="G110" s="92">
        <f t="shared" si="10"/>
        <v>0.67302006611463583</v>
      </c>
    </row>
    <row r="111" spans="1:7" ht="14.25" customHeight="1" outlineLevel="3" x14ac:dyDescent="0.25">
      <c r="A111" s="10" t="s">
        <v>13</v>
      </c>
      <c r="B111" s="87">
        <v>682100</v>
      </c>
      <c r="C111" s="87">
        <v>310768</v>
      </c>
      <c r="D111" s="87">
        <v>309823.13</v>
      </c>
      <c r="E111" s="87">
        <v>309823.13</v>
      </c>
      <c r="F111" s="92">
        <f t="shared" si="9"/>
        <v>0.99695956469134528</v>
      </c>
      <c r="G111" s="92">
        <f t="shared" si="10"/>
        <v>0.45421951326784932</v>
      </c>
    </row>
    <row r="112" spans="1:7" ht="14.25" customHeight="1" outlineLevel="3" x14ac:dyDescent="0.25">
      <c r="A112" s="10" t="s">
        <v>14</v>
      </c>
      <c r="B112" s="87">
        <v>159318</v>
      </c>
      <c r="C112" s="87">
        <v>60119</v>
      </c>
      <c r="D112" s="87">
        <v>60119</v>
      </c>
      <c r="E112" s="87">
        <v>60119</v>
      </c>
      <c r="F112" s="92">
        <f t="shared" si="9"/>
        <v>1</v>
      </c>
      <c r="G112" s="92">
        <f t="shared" si="10"/>
        <v>0.37735221381137096</v>
      </c>
    </row>
    <row r="113" spans="1:7" ht="14.25" customHeight="1" outlineLevel="3" x14ac:dyDescent="0.25">
      <c r="A113" s="10" t="s">
        <v>15</v>
      </c>
      <c r="B113" s="87">
        <v>642500</v>
      </c>
      <c r="C113" s="87">
        <v>270000</v>
      </c>
      <c r="D113" s="87">
        <v>269006.68</v>
      </c>
      <c r="E113" s="87">
        <v>269006.68</v>
      </c>
      <c r="F113" s="92">
        <f t="shared" si="9"/>
        <v>0.99632103703703701</v>
      </c>
      <c r="G113" s="92">
        <f t="shared" si="10"/>
        <v>0.41868743968871597</v>
      </c>
    </row>
    <row r="114" spans="1:7" ht="14.25" customHeight="1" outlineLevel="3" x14ac:dyDescent="0.25">
      <c r="A114" s="10" t="s">
        <v>26</v>
      </c>
      <c r="B114" s="87">
        <v>24000</v>
      </c>
      <c r="C114" s="87">
        <v>10000</v>
      </c>
      <c r="D114" s="87">
        <v>7849.85</v>
      </c>
      <c r="E114" s="87">
        <v>7849.85</v>
      </c>
      <c r="F114" s="92">
        <f t="shared" si="9"/>
        <v>0.78498500000000004</v>
      </c>
      <c r="G114" s="92">
        <f t="shared" si="10"/>
        <v>0.32707708333333335</v>
      </c>
    </row>
    <row r="115" spans="1:7" s="78" customFormat="1" ht="15.75" customHeight="1" outlineLevel="2" x14ac:dyDescent="0.25">
      <c r="A115" s="8" t="s">
        <v>31</v>
      </c>
      <c r="B115" s="9">
        <v>12987548</v>
      </c>
      <c r="C115" s="9">
        <v>5828974</v>
      </c>
      <c r="D115" s="9">
        <v>5236026.5999999996</v>
      </c>
      <c r="E115" s="9">
        <v>5236026.5999999996</v>
      </c>
      <c r="F115" s="16">
        <f t="shared" si="9"/>
        <v>0.89827585437848922</v>
      </c>
      <c r="G115" s="16">
        <f t="shared" si="10"/>
        <v>0.40315743972611301</v>
      </c>
    </row>
    <row r="116" spans="1:7" ht="12.75" customHeight="1" outlineLevel="3" x14ac:dyDescent="0.25">
      <c r="A116" s="10" t="s">
        <v>9</v>
      </c>
      <c r="B116" s="87">
        <v>7977155</v>
      </c>
      <c r="C116" s="87">
        <v>3262400</v>
      </c>
      <c r="D116" s="87">
        <v>3180263.61</v>
      </c>
      <c r="E116" s="87">
        <v>3180263.61</v>
      </c>
      <c r="F116" s="92">
        <f t="shared" si="9"/>
        <v>0.97482332332025501</v>
      </c>
      <c r="G116" s="92">
        <f t="shared" si="10"/>
        <v>0.39867140728743516</v>
      </c>
    </row>
    <row r="117" spans="1:7" ht="12.75" customHeight="1" outlineLevel="3" x14ac:dyDescent="0.25">
      <c r="A117" s="10" t="s">
        <v>10</v>
      </c>
      <c r="B117" s="87">
        <v>1754973</v>
      </c>
      <c r="C117" s="87">
        <v>717600</v>
      </c>
      <c r="D117" s="87">
        <v>706030.26</v>
      </c>
      <c r="E117" s="87">
        <v>706030.26</v>
      </c>
      <c r="F117" s="92">
        <f t="shared" si="9"/>
        <v>0.98387717391304352</v>
      </c>
      <c r="G117" s="92">
        <f t="shared" si="10"/>
        <v>0.40230263371573238</v>
      </c>
    </row>
    <row r="118" spans="1:7" ht="12.75" customHeight="1" outlineLevel="3" x14ac:dyDescent="0.25">
      <c r="A118" s="10" t="s">
        <v>11</v>
      </c>
      <c r="B118" s="87">
        <v>150000</v>
      </c>
      <c r="C118" s="87">
        <v>150000</v>
      </c>
      <c r="D118" s="87">
        <v>149999.47</v>
      </c>
      <c r="E118" s="87">
        <v>149999.47</v>
      </c>
      <c r="F118" s="92">
        <f t="shared" si="9"/>
        <v>0.99999646666666664</v>
      </c>
      <c r="G118" s="92">
        <f t="shared" si="10"/>
        <v>0.99999646666666664</v>
      </c>
    </row>
    <row r="119" spans="1:7" ht="12.75" customHeight="1" outlineLevel="3" x14ac:dyDescent="0.25">
      <c r="A119" s="10" t="s">
        <v>34</v>
      </c>
      <c r="B119" s="87">
        <v>449065</v>
      </c>
      <c r="C119" s="87">
        <v>220400</v>
      </c>
      <c r="D119" s="87">
        <v>173116.51</v>
      </c>
      <c r="E119" s="87">
        <v>173116.51</v>
      </c>
      <c r="F119" s="92">
        <f t="shared" si="9"/>
        <v>0.78546510889292198</v>
      </c>
      <c r="G119" s="92">
        <f t="shared" si="10"/>
        <v>0.3855043479229065</v>
      </c>
    </row>
    <row r="120" spans="1:7" ht="12.75" customHeight="1" outlineLevel="3" x14ac:dyDescent="0.25">
      <c r="A120" s="10" t="s">
        <v>12</v>
      </c>
      <c r="B120" s="87">
        <v>180000</v>
      </c>
      <c r="C120" s="87">
        <v>110000</v>
      </c>
      <c r="D120" s="87">
        <v>105218.71</v>
      </c>
      <c r="E120" s="87">
        <v>105218.71</v>
      </c>
      <c r="F120" s="92">
        <f t="shared" si="9"/>
        <v>0.95653372727272734</v>
      </c>
      <c r="G120" s="92">
        <f t="shared" si="10"/>
        <v>0.58454838888888894</v>
      </c>
    </row>
    <row r="121" spans="1:7" ht="12.75" customHeight="1" outlineLevel="3" x14ac:dyDescent="0.25">
      <c r="A121" s="10" t="s">
        <v>13</v>
      </c>
      <c r="B121" s="87">
        <v>1716615</v>
      </c>
      <c r="C121" s="87">
        <v>908703</v>
      </c>
      <c r="D121" s="87">
        <v>499872.08</v>
      </c>
      <c r="E121" s="87">
        <v>499872.08</v>
      </c>
      <c r="F121" s="92">
        <f t="shared" si="9"/>
        <v>0.55009401311539641</v>
      </c>
      <c r="G121" s="92">
        <f t="shared" si="10"/>
        <v>0.29119638358047673</v>
      </c>
    </row>
    <row r="122" spans="1:7" ht="12.75" customHeight="1" outlineLevel="3" x14ac:dyDescent="0.25">
      <c r="A122" s="10" t="s">
        <v>14</v>
      </c>
      <c r="B122" s="87">
        <v>106988</v>
      </c>
      <c r="C122" s="87">
        <v>63076</v>
      </c>
      <c r="D122" s="87">
        <v>58504.81</v>
      </c>
      <c r="E122" s="87">
        <v>58504.81</v>
      </c>
      <c r="F122" s="92">
        <f t="shared" si="9"/>
        <v>0.92752885408079144</v>
      </c>
      <c r="G122" s="92">
        <f t="shared" si="10"/>
        <v>0.54683525255168797</v>
      </c>
    </row>
    <row r="123" spans="1:7" ht="12.75" customHeight="1" outlineLevel="3" x14ac:dyDescent="0.25">
      <c r="A123" s="10" t="s">
        <v>15</v>
      </c>
      <c r="B123" s="87">
        <v>620000</v>
      </c>
      <c r="C123" s="87">
        <v>382000</v>
      </c>
      <c r="D123" s="87">
        <v>349522.3</v>
      </c>
      <c r="E123" s="87">
        <v>349522.3</v>
      </c>
      <c r="F123" s="92">
        <f t="shared" si="9"/>
        <v>0.91497984293193713</v>
      </c>
      <c r="G123" s="92">
        <f t="shared" si="10"/>
        <v>0.56374564516129033</v>
      </c>
    </row>
    <row r="124" spans="1:7" ht="12.75" customHeight="1" outlineLevel="3" x14ac:dyDescent="0.25">
      <c r="A124" s="10" t="s">
        <v>26</v>
      </c>
      <c r="B124" s="87">
        <v>30752</v>
      </c>
      <c r="C124" s="87">
        <v>12795</v>
      </c>
      <c r="D124" s="87">
        <v>11598.85</v>
      </c>
      <c r="E124" s="87">
        <v>11598.85</v>
      </c>
      <c r="F124" s="92">
        <f t="shared" si="9"/>
        <v>0.90651426338413443</v>
      </c>
      <c r="G124" s="92">
        <f t="shared" si="10"/>
        <v>0.37717384235171697</v>
      </c>
    </row>
    <row r="125" spans="1:7" ht="26.25" customHeight="1" outlineLevel="3" x14ac:dyDescent="0.25">
      <c r="A125" s="10" t="s">
        <v>16</v>
      </c>
      <c r="B125" s="87">
        <v>2000</v>
      </c>
      <c r="C125" s="87">
        <v>2000</v>
      </c>
      <c r="D125" s="87">
        <v>1900</v>
      </c>
      <c r="E125" s="87">
        <v>1900</v>
      </c>
      <c r="F125" s="92">
        <f t="shared" si="9"/>
        <v>0.95</v>
      </c>
      <c r="G125" s="92">
        <f t="shared" si="10"/>
        <v>0.95</v>
      </c>
    </row>
    <row r="126" spans="1:7" s="78" customFormat="1" ht="26.25" customHeight="1" outlineLevel="2" x14ac:dyDescent="0.25">
      <c r="A126" s="8" t="s">
        <v>23</v>
      </c>
      <c r="B126" s="9">
        <v>1186177821</v>
      </c>
      <c r="C126" s="9">
        <f>SUM(C127:C138)</f>
        <v>499261807</v>
      </c>
      <c r="D126" s="9">
        <v>468377665.19</v>
      </c>
      <c r="E126" s="9">
        <v>468375665.19</v>
      </c>
      <c r="F126" s="16">
        <f t="shared" si="9"/>
        <v>0.93814038771445618</v>
      </c>
      <c r="G126" s="16">
        <f t="shared" si="10"/>
        <v>0.39486294288923479</v>
      </c>
    </row>
    <row r="127" spans="1:7" ht="14.25" customHeight="1" outlineLevel="3" x14ac:dyDescent="0.25">
      <c r="A127" s="10" t="s">
        <v>9</v>
      </c>
      <c r="B127" s="87">
        <v>791488100</v>
      </c>
      <c r="C127" s="87">
        <f>333389789-C116-C106-C95</f>
        <v>320657389</v>
      </c>
      <c r="D127" s="87">
        <v>320461195.31</v>
      </c>
      <c r="E127" s="87">
        <v>320459195.31</v>
      </c>
      <c r="F127" s="92">
        <f t="shared" si="9"/>
        <v>0.9993881516636437</v>
      </c>
      <c r="G127" s="92">
        <f t="shared" si="10"/>
        <v>0.40488441368859496</v>
      </c>
    </row>
    <row r="128" spans="1:7" ht="14.25" customHeight="1" outlineLevel="3" x14ac:dyDescent="0.25">
      <c r="A128" s="10" t="s">
        <v>10</v>
      </c>
      <c r="B128" s="87">
        <v>174127388</v>
      </c>
      <c r="C128" s="87">
        <f>73216460-C117-C107-C96</f>
        <v>70415460</v>
      </c>
      <c r="D128" s="87">
        <v>69963918.269999996</v>
      </c>
      <c r="E128" s="87">
        <v>69963918.269999996</v>
      </c>
      <c r="F128" s="92">
        <f t="shared" si="9"/>
        <v>0.99358746317925062</v>
      </c>
      <c r="G128" s="92">
        <f t="shared" si="10"/>
        <v>0.40179732248668426</v>
      </c>
    </row>
    <row r="129" spans="1:7" ht="14.25" customHeight="1" outlineLevel="3" x14ac:dyDescent="0.25">
      <c r="A129" s="10" t="s">
        <v>11</v>
      </c>
      <c r="B129" s="87">
        <v>9723672</v>
      </c>
      <c r="C129" s="87">
        <f>2535256-C118-C108-C97</f>
        <v>2360028</v>
      </c>
      <c r="D129" s="87">
        <v>1903721.93</v>
      </c>
      <c r="E129" s="87">
        <v>1903721.93</v>
      </c>
      <c r="F129" s="92">
        <f t="shared" ref="F129:F188" si="13">D129/C129</f>
        <v>0.80665226429516934</v>
      </c>
      <c r="G129" s="92">
        <f t="shared" ref="G129:G188" si="14">D129/B129</f>
        <v>0.19578220347210396</v>
      </c>
    </row>
    <row r="130" spans="1:7" ht="14.25" customHeight="1" outlineLevel="3" x14ac:dyDescent="0.25">
      <c r="A130" s="10" t="s">
        <v>29</v>
      </c>
      <c r="B130" s="87">
        <v>493221</v>
      </c>
      <c r="C130" s="87">
        <f>503666-C109-C98</f>
        <v>493221</v>
      </c>
      <c r="D130" s="89"/>
      <c r="E130" s="89"/>
      <c r="F130" s="92">
        <f t="shared" si="13"/>
        <v>0</v>
      </c>
      <c r="G130" s="92">
        <f t="shared" si="14"/>
        <v>0</v>
      </c>
    </row>
    <row r="131" spans="1:7" ht="14.25" customHeight="1" outlineLevel="3" x14ac:dyDescent="0.25">
      <c r="A131" s="10" t="s">
        <v>12</v>
      </c>
      <c r="B131" s="87">
        <v>86372146</v>
      </c>
      <c r="C131" s="87">
        <f>36432240-C120-C110-C99</f>
        <v>35606592</v>
      </c>
      <c r="D131" s="87">
        <v>21063762.41</v>
      </c>
      <c r="E131" s="87">
        <v>21063762.41</v>
      </c>
      <c r="F131" s="92">
        <f t="shared" si="13"/>
        <v>0.59156917938116627</v>
      </c>
      <c r="G131" s="92">
        <f t="shared" si="14"/>
        <v>0.24387216695993638</v>
      </c>
    </row>
    <row r="132" spans="1:7" ht="14.25" customHeight="1" outlineLevel="3" x14ac:dyDescent="0.25">
      <c r="A132" s="10" t="s">
        <v>13</v>
      </c>
      <c r="B132" s="87">
        <v>67195412</v>
      </c>
      <c r="C132" s="87">
        <f>44579735-C121-C111-C100</f>
        <v>43080264</v>
      </c>
      <c r="D132" s="87">
        <v>34852041.740000002</v>
      </c>
      <c r="E132" s="87">
        <v>34852041.740000002</v>
      </c>
      <c r="F132" s="92">
        <f t="shared" si="13"/>
        <v>0.80900251075527307</v>
      </c>
      <c r="G132" s="92">
        <f t="shared" si="14"/>
        <v>0.51866698488283702</v>
      </c>
    </row>
    <row r="133" spans="1:7" ht="14.25" customHeight="1" outlineLevel="3" x14ac:dyDescent="0.25">
      <c r="A133" s="10" t="s">
        <v>14</v>
      </c>
      <c r="B133" s="87">
        <v>8230793</v>
      </c>
      <c r="C133" s="87">
        <f>6004913-C122-C112-C101</f>
        <v>5839420</v>
      </c>
      <c r="D133" s="87">
        <v>5748289.0999999996</v>
      </c>
      <c r="E133" s="87">
        <v>5748289.0999999996</v>
      </c>
      <c r="F133" s="92">
        <f t="shared" si="13"/>
        <v>0.9843938439091553</v>
      </c>
      <c r="G133" s="92">
        <f t="shared" si="14"/>
        <v>0.69838824764515395</v>
      </c>
    </row>
    <row r="134" spans="1:7" ht="14.25" customHeight="1" outlineLevel="3" x14ac:dyDescent="0.25">
      <c r="A134" s="10" t="s">
        <v>15</v>
      </c>
      <c r="B134" s="87">
        <v>27175646</v>
      </c>
      <c r="C134" s="87">
        <f>14920490-C123-C113-C102</f>
        <v>14088490</v>
      </c>
      <c r="D134" s="87">
        <v>13830716.710000001</v>
      </c>
      <c r="E134" s="87">
        <v>13830716.710000001</v>
      </c>
      <c r="F134" s="92">
        <f t="shared" si="13"/>
        <v>0.98170327054212347</v>
      </c>
      <c r="G134" s="92">
        <f t="shared" si="14"/>
        <v>0.50893791853190906</v>
      </c>
    </row>
    <row r="135" spans="1:7" ht="14.25" customHeight="1" outlineLevel="3" x14ac:dyDescent="0.25">
      <c r="A135" s="10" t="s">
        <v>32</v>
      </c>
      <c r="B135" s="87">
        <v>306700</v>
      </c>
      <c r="C135" s="87">
        <f>131821</f>
        <v>131821</v>
      </c>
      <c r="D135" s="87">
        <v>48376.88</v>
      </c>
      <c r="E135" s="87">
        <v>48376.88</v>
      </c>
      <c r="F135" s="92">
        <f t="shared" si="13"/>
        <v>0.36698917471419573</v>
      </c>
      <c r="G135" s="92">
        <f t="shared" si="14"/>
        <v>0.15773355070101075</v>
      </c>
    </row>
    <row r="136" spans="1:7" ht="14.25" customHeight="1" outlineLevel="3" x14ac:dyDescent="0.25">
      <c r="A136" s="10" t="s">
        <v>26</v>
      </c>
      <c r="B136" s="87">
        <v>1496108</v>
      </c>
      <c r="C136" s="87">
        <f>739372-C124-C114-C103</f>
        <v>708912</v>
      </c>
      <c r="D136" s="87">
        <v>505642.84</v>
      </c>
      <c r="E136" s="87">
        <v>505642.84</v>
      </c>
      <c r="F136" s="92">
        <f t="shared" si="13"/>
        <v>0.71326601891348995</v>
      </c>
      <c r="G136" s="92">
        <f t="shared" si="14"/>
        <v>0.337972151743056</v>
      </c>
    </row>
    <row r="137" spans="1:7" ht="27" customHeight="1" outlineLevel="3" x14ac:dyDescent="0.25">
      <c r="A137" s="10" t="s">
        <v>16</v>
      </c>
      <c r="B137" s="87">
        <v>236000</v>
      </c>
      <c r="C137" s="87">
        <f>241000-C125-C104</f>
        <v>236000</v>
      </c>
      <c r="D137" s="89"/>
      <c r="E137" s="89"/>
      <c r="F137" s="92">
        <f t="shared" si="13"/>
        <v>0</v>
      </c>
      <c r="G137" s="92">
        <f t="shared" si="14"/>
        <v>0</v>
      </c>
    </row>
    <row r="138" spans="1:7" ht="25.5" customHeight="1" outlineLevel="3" x14ac:dyDescent="0.25">
      <c r="A138" s="10" t="s">
        <v>56</v>
      </c>
      <c r="B138" s="87">
        <v>19332635</v>
      </c>
      <c r="C138" s="87">
        <v>5644210</v>
      </c>
      <c r="D138" s="89"/>
      <c r="E138" s="89"/>
      <c r="F138" s="92">
        <v>0</v>
      </c>
      <c r="G138" s="92">
        <f t="shared" si="14"/>
        <v>0</v>
      </c>
    </row>
    <row r="139" spans="1:7" ht="28.5" customHeight="1" outlineLevel="1" x14ac:dyDescent="0.25">
      <c r="A139" s="28" t="s">
        <v>66</v>
      </c>
      <c r="B139" s="93">
        <f>B140+B151+B163+B175+B187</f>
        <v>1347383510</v>
      </c>
      <c r="C139" s="93">
        <f t="shared" ref="C139:E139" si="15">C140+C151+C163+C175+C187</f>
        <v>577394672</v>
      </c>
      <c r="D139" s="93">
        <f t="shared" si="15"/>
        <v>490514759.03999996</v>
      </c>
      <c r="E139" s="93">
        <f t="shared" si="15"/>
        <v>490514758.97000003</v>
      </c>
      <c r="F139" s="94">
        <f t="shared" si="13"/>
        <v>0.84953114884302217</v>
      </c>
      <c r="G139" s="94">
        <f t="shared" si="14"/>
        <v>0.36404984579334798</v>
      </c>
    </row>
    <row r="140" spans="1:7" s="78" customFormat="1" ht="27" customHeight="1" outlineLevel="2" x14ac:dyDescent="0.25">
      <c r="A140" s="8" t="s">
        <v>28</v>
      </c>
      <c r="B140" s="9">
        <v>44669010</v>
      </c>
      <c r="C140" s="9">
        <v>18981176</v>
      </c>
      <c r="D140" s="9">
        <v>17057200.41</v>
      </c>
      <c r="E140" s="9">
        <v>17057200.41</v>
      </c>
      <c r="F140" s="16">
        <f t="shared" si="13"/>
        <v>0.89863770348054306</v>
      </c>
      <c r="G140" s="16">
        <f t="shared" si="14"/>
        <v>0.38185758784445861</v>
      </c>
    </row>
    <row r="141" spans="1:7" ht="12" customHeight="1" outlineLevel="3" x14ac:dyDescent="0.25">
      <c r="A141" s="10" t="s">
        <v>9</v>
      </c>
      <c r="B141" s="87">
        <v>30742200</v>
      </c>
      <c r="C141" s="87">
        <v>12600000</v>
      </c>
      <c r="D141" s="87">
        <v>12547800.949999999</v>
      </c>
      <c r="E141" s="87">
        <v>12547800.949999999</v>
      </c>
      <c r="F141" s="92">
        <f t="shared" si="13"/>
        <v>0.99585721825396822</v>
      </c>
      <c r="G141" s="92">
        <f t="shared" si="14"/>
        <v>0.4081621012809753</v>
      </c>
    </row>
    <row r="142" spans="1:7" ht="12" customHeight="1" outlineLevel="3" x14ac:dyDescent="0.25">
      <c r="A142" s="10" t="s">
        <v>10</v>
      </c>
      <c r="B142" s="87">
        <v>6763284</v>
      </c>
      <c r="C142" s="87">
        <v>2772000</v>
      </c>
      <c r="D142" s="87">
        <v>2553606.34</v>
      </c>
      <c r="E142" s="87">
        <v>2553606.34</v>
      </c>
      <c r="F142" s="92">
        <f t="shared" si="13"/>
        <v>0.92121440836940827</v>
      </c>
      <c r="G142" s="92">
        <f t="shared" si="14"/>
        <v>0.37756899458901916</v>
      </c>
    </row>
    <row r="143" spans="1:7" ht="12" customHeight="1" outlineLevel="3" x14ac:dyDescent="0.25">
      <c r="A143" s="10" t="s">
        <v>11</v>
      </c>
      <c r="B143" s="87">
        <v>700000</v>
      </c>
      <c r="C143" s="87">
        <v>700000</v>
      </c>
      <c r="D143" s="87">
        <v>148434.04</v>
      </c>
      <c r="E143" s="87">
        <v>148434.04</v>
      </c>
      <c r="F143" s="92">
        <f t="shared" si="13"/>
        <v>0.21204862857142859</v>
      </c>
      <c r="G143" s="92">
        <f t="shared" si="14"/>
        <v>0.21204862857142859</v>
      </c>
    </row>
    <row r="144" spans="1:7" ht="12" customHeight="1" outlineLevel="3" x14ac:dyDescent="0.25">
      <c r="A144" s="10" t="s">
        <v>29</v>
      </c>
      <c r="B144" s="87">
        <v>33000</v>
      </c>
      <c r="C144" s="87"/>
      <c r="D144" s="89"/>
      <c r="E144" s="89"/>
      <c r="F144" s="92">
        <v>0</v>
      </c>
      <c r="G144" s="92">
        <f t="shared" si="14"/>
        <v>0</v>
      </c>
    </row>
    <row r="145" spans="1:7" ht="12" customHeight="1" outlineLevel="3" x14ac:dyDescent="0.25">
      <c r="A145" s="10" t="s">
        <v>12</v>
      </c>
      <c r="B145" s="87">
        <v>2200000</v>
      </c>
      <c r="C145" s="87">
        <v>473350</v>
      </c>
      <c r="D145" s="87">
        <v>96753.12</v>
      </c>
      <c r="E145" s="87">
        <v>96753.12</v>
      </c>
      <c r="F145" s="92">
        <f t="shared" si="13"/>
        <v>0.20440080278863421</v>
      </c>
      <c r="G145" s="92">
        <f t="shared" si="14"/>
        <v>4.3978690909090908E-2</v>
      </c>
    </row>
    <row r="146" spans="1:7" ht="12" customHeight="1" outlineLevel="3" x14ac:dyDescent="0.25">
      <c r="A146" s="10" t="s">
        <v>13</v>
      </c>
      <c r="B146" s="87">
        <v>2200000</v>
      </c>
      <c r="C146" s="87">
        <v>1666000</v>
      </c>
      <c r="D146" s="87">
        <v>1249339.6100000001</v>
      </c>
      <c r="E146" s="87">
        <v>1249339.6100000001</v>
      </c>
      <c r="F146" s="92">
        <f t="shared" si="13"/>
        <v>0.74990372749099643</v>
      </c>
      <c r="G146" s="92">
        <f t="shared" si="14"/>
        <v>0.56788164090909099</v>
      </c>
    </row>
    <row r="147" spans="1:7" ht="12" customHeight="1" outlineLevel="3" x14ac:dyDescent="0.25">
      <c r="A147" s="10" t="s">
        <v>14</v>
      </c>
      <c r="B147" s="87">
        <v>130650</v>
      </c>
      <c r="C147" s="87">
        <v>130650</v>
      </c>
      <c r="D147" s="87">
        <v>90329.39</v>
      </c>
      <c r="E147" s="87">
        <v>90329.39</v>
      </c>
      <c r="F147" s="92">
        <f t="shared" si="13"/>
        <v>0.69138453884424034</v>
      </c>
      <c r="G147" s="92">
        <f t="shared" si="14"/>
        <v>0.69138453884424034</v>
      </c>
    </row>
    <row r="148" spans="1:7" ht="12" customHeight="1" outlineLevel="3" x14ac:dyDescent="0.25">
      <c r="A148" s="10" t="s">
        <v>15</v>
      </c>
      <c r="B148" s="87">
        <v>1874440</v>
      </c>
      <c r="C148" s="87">
        <v>623940</v>
      </c>
      <c r="D148" s="87">
        <v>360872.87</v>
      </c>
      <c r="E148" s="87">
        <v>360872.87</v>
      </c>
      <c r="F148" s="92">
        <f t="shared" si="13"/>
        <v>0.57837752027438538</v>
      </c>
      <c r="G148" s="92">
        <f t="shared" si="14"/>
        <v>0.19252303087855574</v>
      </c>
    </row>
    <row r="149" spans="1:7" ht="12" customHeight="1" outlineLevel="3" x14ac:dyDescent="0.25">
      <c r="A149" s="10" t="s">
        <v>26</v>
      </c>
      <c r="B149" s="87">
        <v>22436</v>
      </c>
      <c r="C149" s="87">
        <v>12236</v>
      </c>
      <c r="D149" s="87">
        <v>10064.09</v>
      </c>
      <c r="E149" s="87">
        <v>10064.09</v>
      </c>
      <c r="F149" s="92">
        <f t="shared" si="13"/>
        <v>0.82249836547891464</v>
      </c>
      <c r="G149" s="92">
        <f t="shared" si="14"/>
        <v>0.44856881797111786</v>
      </c>
    </row>
    <row r="150" spans="1:7" ht="27" customHeight="1" outlineLevel="3" x14ac:dyDescent="0.25">
      <c r="A150" s="10" t="s">
        <v>16</v>
      </c>
      <c r="B150" s="87">
        <v>3000</v>
      </c>
      <c r="C150" s="87">
        <v>3000</v>
      </c>
      <c r="D150" s="89"/>
      <c r="E150" s="89"/>
      <c r="F150" s="92">
        <f t="shared" si="13"/>
        <v>0</v>
      </c>
      <c r="G150" s="92">
        <f t="shared" si="14"/>
        <v>0</v>
      </c>
    </row>
    <row r="151" spans="1:7" s="78" customFormat="1" ht="15" customHeight="1" outlineLevel="2" x14ac:dyDescent="0.25">
      <c r="A151" s="8" t="s">
        <v>33</v>
      </c>
      <c r="B151" s="9">
        <v>58818452</v>
      </c>
      <c r="C151" s="9">
        <v>24803452</v>
      </c>
      <c r="D151" s="9">
        <v>22851135.199999999</v>
      </c>
      <c r="E151" s="9">
        <v>22851135.199999999</v>
      </c>
      <c r="F151" s="16">
        <f t="shared" si="13"/>
        <v>0.92128850451945155</v>
      </c>
      <c r="G151" s="16">
        <f t="shared" si="14"/>
        <v>0.38850283241048233</v>
      </c>
    </row>
    <row r="152" spans="1:7" ht="12.75" customHeight="1" outlineLevel="3" x14ac:dyDescent="0.25">
      <c r="A152" s="10" t="s">
        <v>9</v>
      </c>
      <c r="B152" s="87">
        <v>38915400</v>
      </c>
      <c r="C152" s="87">
        <v>15950600</v>
      </c>
      <c r="D152" s="87">
        <v>15949444.77</v>
      </c>
      <c r="E152" s="87">
        <v>15949444.77</v>
      </c>
      <c r="F152" s="92">
        <f t="shared" si="13"/>
        <v>0.99992757451130365</v>
      </c>
      <c r="G152" s="92">
        <f t="shared" si="14"/>
        <v>0.4098491797591699</v>
      </c>
    </row>
    <row r="153" spans="1:7" ht="12.75" customHeight="1" outlineLevel="3" x14ac:dyDescent="0.25">
      <c r="A153" s="10" t="s">
        <v>10</v>
      </c>
      <c r="B153" s="87">
        <v>8561388</v>
      </c>
      <c r="C153" s="87">
        <v>3509132</v>
      </c>
      <c r="D153" s="87">
        <v>3478118.92</v>
      </c>
      <c r="E153" s="87">
        <v>3478118.92</v>
      </c>
      <c r="F153" s="92">
        <f t="shared" si="13"/>
        <v>0.99116217913717697</v>
      </c>
      <c r="G153" s="92">
        <f t="shared" si="14"/>
        <v>0.40625642944812218</v>
      </c>
    </row>
    <row r="154" spans="1:7" ht="12.75" customHeight="1" outlineLevel="3" x14ac:dyDescent="0.25">
      <c r="A154" s="10" t="s">
        <v>11</v>
      </c>
      <c r="B154" s="87">
        <v>1300000</v>
      </c>
      <c r="C154" s="87">
        <v>705000</v>
      </c>
      <c r="D154" s="87">
        <v>240681.2</v>
      </c>
      <c r="E154" s="87">
        <v>240681.2</v>
      </c>
      <c r="F154" s="92">
        <f t="shared" si="13"/>
        <v>0.34139177304964541</v>
      </c>
      <c r="G154" s="92">
        <f t="shared" si="14"/>
        <v>0.18513938461538462</v>
      </c>
    </row>
    <row r="155" spans="1:7" ht="12.75" customHeight="1" outlineLevel="3" x14ac:dyDescent="0.25">
      <c r="A155" s="10" t="s">
        <v>29</v>
      </c>
      <c r="B155" s="87">
        <v>43700</v>
      </c>
      <c r="C155" s="87"/>
      <c r="D155" s="89"/>
      <c r="E155" s="89"/>
      <c r="F155" s="92">
        <v>0</v>
      </c>
      <c r="G155" s="92">
        <f t="shared" si="14"/>
        <v>0</v>
      </c>
    </row>
    <row r="156" spans="1:7" ht="12.75" customHeight="1" outlineLevel="3" x14ac:dyDescent="0.25">
      <c r="A156" s="10" t="s">
        <v>34</v>
      </c>
      <c r="B156" s="87">
        <v>953450</v>
      </c>
      <c r="C156" s="87">
        <v>953450</v>
      </c>
      <c r="D156" s="87">
        <v>182350</v>
      </c>
      <c r="E156" s="87">
        <v>182350</v>
      </c>
      <c r="F156" s="92">
        <f t="shared" si="13"/>
        <v>0.19125281871099692</v>
      </c>
      <c r="G156" s="92">
        <f t="shared" si="14"/>
        <v>0.19125281871099692</v>
      </c>
    </row>
    <row r="157" spans="1:7" ht="12.75" customHeight="1" outlineLevel="3" x14ac:dyDescent="0.25">
      <c r="A157" s="10" t="s">
        <v>12</v>
      </c>
      <c r="B157" s="87">
        <v>3800000</v>
      </c>
      <c r="C157" s="87">
        <v>1111134</v>
      </c>
      <c r="D157" s="87">
        <v>582135.47</v>
      </c>
      <c r="E157" s="87">
        <v>582135.47</v>
      </c>
      <c r="F157" s="92">
        <f t="shared" si="13"/>
        <v>0.52391113043071313</v>
      </c>
      <c r="G157" s="92">
        <f t="shared" si="14"/>
        <v>0.1531935447368421</v>
      </c>
    </row>
    <row r="158" spans="1:7" ht="12.75" customHeight="1" outlineLevel="3" x14ac:dyDescent="0.25">
      <c r="A158" s="10" t="s">
        <v>13</v>
      </c>
      <c r="B158" s="87">
        <v>1909463</v>
      </c>
      <c r="C158" s="87">
        <v>860096</v>
      </c>
      <c r="D158" s="87">
        <v>808286.46</v>
      </c>
      <c r="E158" s="87">
        <v>808286.46</v>
      </c>
      <c r="F158" s="92">
        <f t="shared" si="13"/>
        <v>0.93976307295929751</v>
      </c>
      <c r="G158" s="92">
        <f t="shared" si="14"/>
        <v>0.42330564142903004</v>
      </c>
    </row>
    <row r="159" spans="1:7" ht="12.75" customHeight="1" outlineLevel="3" x14ac:dyDescent="0.25">
      <c r="A159" s="10" t="s">
        <v>14</v>
      </c>
      <c r="B159" s="87">
        <v>413313</v>
      </c>
      <c r="C159" s="87">
        <v>289148</v>
      </c>
      <c r="D159" s="87">
        <v>279798.26</v>
      </c>
      <c r="E159" s="87">
        <v>279798.26</v>
      </c>
      <c r="F159" s="92">
        <f t="shared" si="13"/>
        <v>0.9676645178247818</v>
      </c>
      <c r="G159" s="92">
        <f t="shared" si="14"/>
        <v>0.67696457648319797</v>
      </c>
    </row>
    <row r="160" spans="1:7" ht="12.75" customHeight="1" outlineLevel="3" x14ac:dyDescent="0.25">
      <c r="A160" s="10" t="s">
        <v>15</v>
      </c>
      <c r="B160" s="87">
        <v>2873700</v>
      </c>
      <c r="C160" s="87">
        <v>1400000</v>
      </c>
      <c r="D160" s="87">
        <v>1316462.56</v>
      </c>
      <c r="E160" s="87">
        <v>1316462.56</v>
      </c>
      <c r="F160" s="92">
        <f t="shared" si="13"/>
        <v>0.94033040000000001</v>
      </c>
      <c r="G160" s="92">
        <f t="shared" si="14"/>
        <v>0.45810716497894705</v>
      </c>
    </row>
    <row r="161" spans="1:7" ht="12.75" customHeight="1" outlineLevel="3" x14ac:dyDescent="0.25">
      <c r="A161" s="10" t="s">
        <v>26</v>
      </c>
      <c r="B161" s="87">
        <v>45038</v>
      </c>
      <c r="C161" s="87">
        <v>21892</v>
      </c>
      <c r="D161" s="87">
        <v>13857.56</v>
      </c>
      <c r="E161" s="87">
        <v>13857.56</v>
      </c>
      <c r="F161" s="92">
        <f t="shared" si="13"/>
        <v>0.63299652841220533</v>
      </c>
      <c r="G161" s="92">
        <f t="shared" si="14"/>
        <v>0.30768595408321858</v>
      </c>
    </row>
    <row r="162" spans="1:7" ht="25.5" customHeight="1" outlineLevel="3" x14ac:dyDescent="0.25">
      <c r="A162" s="10" t="s">
        <v>16</v>
      </c>
      <c r="B162" s="87">
        <v>3000</v>
      </c>
      <c r="C162" s="87">
        <v>3000</v>
      </c>
      <c r="D162" s="89"/>
      <c r="E162" s="89"/>
      <c r="F162" s="92">
        <f t="shared" si="13"/>
        <v>0</v>
      </c>
      <c r="G162" s="92">
        <f t="shared" si="14"/>
        <v>0</v>
      </c>
    </row>
    <row r="163" spans="1:7" s="78" customFormat="1" ht="17.25" customHeight="1" outlineLevel="2" x14ac:dyDescent="0.25">
      <c r="A163" s="8" t="s">
        <v>30</v>
      </c>
      <c r="B163" s="9">
        <v>62094209</v>
      </c>
      <c r="C163" s="9">
        <v>29907210</v>
      </c>
      <c r="D163" s="9">
        <v>26674115.07</v>
      </c>
      <c r="E163" s="9">
        <v>26674115.010000002</v>
      </c>
      <c r="F163" s="16">
        <f t="shared" si="13"/>
        <v>0.89189580271780622</v>
      </c>
      <c r="G163" s="16">
        <f t="shared" si="14"/>
        <v>0.429574923323365</v>
      </c>
    </row>
    <row r="164" spans="1:7" ht="12.75" customHeight="1" outlineLevel="3" x14ac:dyDescent="0.25">
      <c r="A164" s="10" t="s">
        <v>9</v>
      </c>
      <c r="B164" s="87">
        <v>36979200</v>
      </c>
      <c r="C164" s="87">
        <v>16658350</v>
      </c>
      <c r="D164" s="87">
        <v>16657318.35</v>
      </c>
      <c r="E164" s="87">
        <v>16657318.289999999</v>
      </c>
      <c r="F164" s="92">
        <f t="shared" si="13"/>
        <v>0.99993807009697833</v>
      </c>
      <c r="G164" s="92">
        <f t="shared" si="14"/>
        <v>0.45045101976246105</v>
      </c>
    </row>
    <row r="165" spans="1:7" ht="12.75" customHeight="1" outlineLevel="3" x14ac:dyDescent="0.25">
      <c r="A165" s="10" t="s">
        <v>10</v>
      </c>
      <c r="B165" s="87">
        <v>8135424</v>
      </c>
      <c r="C165" s="87">
        <v>3664836</v>
      </c>
      <c r="D165" s="87">
        <v>3641149.92</v>
      </c>
      <c r="E165" s="87">
        <v>3641149.92</v>
      </c>
      <c r="F165" s="92">
        <f t="shared" si="13"/>
        <v>0.99353693316699576</v>
      </c>
      <c r="G165" s="92">
        <f t="shared" si="14"/>
        <v>0.44756732040026431</v>
      </c>
    </row>
    <row r="166" spans="1:7" ht="12.75" customHeight="1" outlineLevel="3" x14ac:dyDescent="0.25">
      <c r="A166" s="10" t="s">
        <v>11</v>
      </c>
      <c r="B166" s="87">
        <v>1327715</v>
      </c>
      <c r="C166" s="87">
        <v>1327715</v>
      </c>
      <c r="D166" s="87">
        <v>1008926.35</v>
      </c>
      <c r="E166" s="87">
        <v>1008926.35</v>
      </c>
      <c r="F166" s="92">
        <f t="shared" si="13"/>
        <v>0.75989677754638607</v>
      </c>
      <c r="G166" s="92">
        <f t="shared" si="14"/>
        <v>0.75989677754638607</v>
      </c>
    </row>
    <row r="167" spans="1:7" ht="12.75" customHeight="1" outlineLevel="3" x14ac:dyDescent="0.25">
      <c r="A167" s="10" t="s">
        <v>29</v>
      </c>
      <c r="B167" s="87">
        <v>35213</v>
      </c>
      <c r="C167" s="87"/>
      <c r="D167" s="89"/>
      <c r="E167" s="89"/>
      <c r="F167" s="92">
        <v>0</v>
      </c>
      <c r="G167" s="92">
        <f t="shared" si="14"/>
        <v>0</v>
      </c>
    </row>
    <row r="168" spans="1:7" ht="12.75" customHeight="1" outlineLevel="3" x14ac:dyDescent="0.25">
      <c r="A168" s="10" t="s">
        <v>12</v>
      </c>
      <c r="B168" s="87">
        <v>4506338</v>
      </c>
      <c r="C168" s="87">
        <v>1586338</v>
      </c>
      <c r="D168" s="87">
        <v>608295.42000000004</v>
      </c>
      <c r="E168" s="87">
        <v>608295.42000000004</v>
      </c>
      <c r="F168" s="92">
        <f t="shared" si="13"/>
        <v>0.38345889715810882</v>
      </c>
      <c r="G168" s="92">
        <f t="shared" si="14"/>
        <v>0.13498663881848189</v>
      </c>
    </row>
    <row r="169" spans="1:7" ht="12.75" customHeight="1" outlineLevel="3" x14ac:dyDescent="0.25">
      <c r="A169" s="10" t="s">
        <v>13</v>
      </c>
      <c r="B169" s="87">
        <v>6837562</v>
      </c>
      <c r="C169" s="87">
        <v>3808890</v>
      </c>
      <c r="D169" s="87">
        <v>3348072.99</v>
      </c>
      <c r="E169" s="87">
        <v>3348072.99</v>
      </c>
      <c r="F169" s="92">
        <f t="shared" si="13"/>
        <v>0.87901540606318385</v>
      </c>
      <c r="G169" s="92">
        <f t="shared" si="14"/>
        <v>0.4896588857256432</v>
      </c>
    </row>
    <row r="170" spans="1:7" ht="12.75" customHeight="1" outlineLevel="3" x14ac:dyDescent="0.25">
      <c r="A170" s="10" t="s">
        <v>14</v>
      </c>
      <c r="B170" s="87">
        <v>467219</v>
      </c>
      <c r="C170" s="87">
        <v>338689</v>
      </c>
      <c r="D170" s="87">
        <v>312436.02</v>
      </c>
      <c r="E170" s="87">
        <v>312436.02</v>
      </c>
      <c r="F170" s="92">
        <f t="shared" si="13"/>
        <v>0.92248646988830463</v>
      </c>
      <c r="G170" s="92">
        <f t="shared" si="14"/>
        <v>0.66871428602004634</v>
      </c>
    </row>
    <row r="171" spans="1:7" ht="12.75" customHeight="1" outlineLevel="3" x14ac:dyDescent="0.25">
      <c r="A171" s="10" t="s">
        <v>15</v>
      </c>
      <c r="B171" s="87">
        <v>2297200</v>
      </c>
      <c r="C171" s="87">
        <v>1100292</v>
      </c>
      <c r="D171" s="87">
        <v>1072412.1399999999</v>
      </c>
      <c r="E171" s="87">
        <v>1072412.1399999999</v>
      </c>
      <c r="F171" s="92">
        <f t="shared" si="13"/>
        <v>0.97466139897409043</v>
      </c>
      <c r="G171" s="92">
        <f t="shared" si="14"/>
        <v>0.46683446804805845</v>
      </c>
    </row>
    <row r="172" spans="1:7" ht="12.75" customHeight="1" outlineLevel="3" x14ac:dyDescent="0.25">
      <c r="A172" s="10" t="s">
        <v>26</v>
      </c>
      <c r="B172" s="87">
        <v>147838</v>
      </c>
      <c r="C172" s="87">
        <v>61600</v>
      </c>
      <c r="D172" s="87">
        <v>22503.88</v>
      </c>
      <c r="E172" s="87">
        <v>22503.88</v>
      </c>
      <c r="F172" s="92">
        <f t="shared" si="13"/>
        <v>0.3653227272727273</v>
      </c>
      <c r="G172" s="92">
        <f t="shared" si="14"/>
        <v>0.15221986228168671</v>
      </c>
    </row>
    <row r="173" spans="1:7" ht="27" customHeight="1" outlineLevel="3" x14ac:dyDescent="0.25">
      <c r="A173" s="10" t="s">
        <v>16</v>
      </c>
      <c r="B173" s="87">
        <v>3000</v>
      </c>
      <c r="C173" s="87">
        <v>3000</v>
      </c>
      <c r="D173" s="87">
        <v>3000</v>
      </c>
      <c r="E173" s="87">
        <v>3000</v>
      </c>
      <c r="F173" s="92">
        <f t="shared" si="13"/>
        <v>1</v>
      </c>
      <c r="G173" s="92">
        <f t="shared" si="14"/>
        <v>1</v>
      </c>
    </row>
    <row r="174" spans="1:7" ht="25.5" customHeight="1" outlineLevel="3" x14ac:dyDescent="0.25">
      <c r="A174" s="10" t="s">
        <v>56</v>
      </c>
      <c r="B174" s="87">
        <v>1357500</v>
      </c>
      <c r="C174" s="87">
        <v>1357500</v>
      </c>
      <c r="D174" s="89"/>
      <c r="E174" s="89"/>
      <c r="F174" s="92">
        <f t="shared" si="13"/>
        <v>0</v>
      </c>
      <c r="G174" s="92">
        <f t="shared" si="14"/>
        <v>0</v>
      </c>
    </row>
    <row r="175" spans="1:7" s="78" customFormat="1" ht="27.75" customHeight="1" outlineLevel="2" x14ac:dyDescent="0.25">
      <c r="A175" s="8" t="s">
        <v>35</v>
      </c>
      <c r="B175" s="9">
        <v>37960952</v>
      </c>
      <c r="C175" s="9">
        <v>18778227</v>
      </c>
      <c r="D175" s="9">
        <v>15402010.42</v>
      </c>
      <c r="E175" s="9">
        <v>15402010.42</v>
      </c>
      <c r="F175" s="16">
        <f t="shared" si="13"/>
        <v>0.82020578513615794</v>
      </c>
      <c r="G175" s="16">
        <f t="shared" si="14"/>
        <v>0.40573298635924621</v>
      </c>
    </row>
    <row r="176" spans="1:7" ht="13.5" customHeight="1" outlineLevel="3" x14ac:dyDescent="0.25">
      <c r="A176" s="10" t="s">
        <v>9</v>
      </c>
      <c r="B176" s="87">
        <v>23773000</v>
      </c>
      <c r="C176" s="87">
        <v>11250000</v>
      </c>
      <c r="D176" s="87">
        <v>11122618.52</v>
      </c>
      <c r="E176" s="87">
        <v>11122618.52</v>
      </c>
      <c r="F176" s="92">
        <f t="shared" si="13"/>
        <v>0.98867720177777774</v>
      </c>
      <c r="G176" s="92">
        <f t="shared" si="14"/>
        <v>0.46786768687166114</v>
      </c>
    </row>
    <row r="177" spans="1:7" ht="13.5" customHeight="1" outlineLevel="3" x14ac:dyDescent="0.25">
      <c r="A177" s="10" t="s">
        <v>10</v>
      </c>
      <c r="B177" s="87">
        <v>5230060</v>
      </c>
      <c r="C177" s="87">
        <v>2475000</v>
      </c>
      <c r="D177" s="87">
        <v>2408851.71</v>
      </c>
      <c r="E177" s="87">
        <v>2408851.71</v>
      </c>
      <c r="F177" s="92">
        <f t="shared" si="13"/>
        <v>0.97327341818181812</v>
      </c>
      <c r="G177" s="92">
        <f t="shared" si="14"/>
        <v>0.46057821707590352</v>
      </c>
    </row>
    <row r="178" spans="1:7" ht="13.5" customHeight="1" outlineLevel="3" x14ac:dyDescent="0.25">
      <c r="A178" s="10" t="s">
        <v>11</v>
      </c>
      <c r="B178" s="87">
        <v>775580</v>
      </c>
      <c r="C178" s="87">
        <v>561420</v>
      </c>
      <c r="D178" s="87">
        <v>295041.98</v>
      </c>
      <c r="E178" s="87">
        <v>295041.98</v>
      </c>
      <c r="F178" s="92">
        <f t="shared" si="13"/>
        <v>0.52552808948737129</v>
      </c>
      <c r="G178" s="92">
        <f t="shared" si="14"/>
        <v>0.38041463163052164</v>
      </c>
    </row>
    <row r="179" spans="1:7" ht="13.5" customHeight="1" outlineLevel="3" x14ac:dyDescent="0.25">
      <c r="A179" s="10" t="s">
        <v>29</v>
      </c>
      <c r="B179" s="87">
        <v>27117</v>
      </c>
      <c r="C179" s="87">
        <v>27117</v>
      </c>
      <c r="D179" s="89"/>
      <c r="E179" s="89"/>
      <c r="F179" s="92">
        <f t="shared" si="13"/>
        <v>0</v>
      </c>
      <c r="G179" s="92">
        <f t="shared" si="14"/>
        <v>0</v>
      </c>
    </row>
    <row r="180" spans="1:7" ht="13.5" customHeight="1" outlineLevel="3" x14ac:dyDescent="0.25">
      <c r="A180" s="10" t="s">
        <v>12</v>
      </c>
      <c r="B180" s="87">
        <v>2846815</v>
      </c>
      <c r="C180" s="87">
        <v>1260000</v>
      </c>
      <c r="D180" s="87">
        <v>130104.99</v>
      </c>
      <c r="E180" s="87">
        <v>130104.99</v>
      </c>
      <c r="F180" s="92">
        <f t="shared" si="13"/>
        <v>0.10325792857142857</v>
      </c>
      <c r="G180" s="92">
        <f t="shared" si="14"/>
        <v>4.5701947615141833E-2</v>
      </c>
    </row>
    <row r="181" spans="1:7" ht="13.5" customHeight="1" outlineLevel="3" x14ac:dyDescent="0.25">
      <c r="A181" s="10" t="s">
        <v>13</v>
      </c>
      <c r="B181" s="87">
        <v>2361817</v>
      </c>
      <c r="C181" s="87">
        <v>897470</v>
      </c>
      <c r="D181" s="87">
        <v>500779.6</v>
      </c>
      <c r="E181" s="87">
        <v>500779.6</v>
      </c>
      <c r="F181" s="92">
        <f t="shared" si="13"/>
        <v>0.55799035065238944</v>
      </c>
      <c r="G181" s="92">
        <f t="shared" si="14"/>
        <v>0.21203149947688579</v>
      </c>
    </row>
    <row r="182" spans="1:7" ht="13.5" customHeight="1" outlineLevel="3" x14ac:dyDescent="0.25">
      <c r="A182" s="10" t="s">
        <v>14</v>
      </c>
      <c r="B182" s="87">
        <v>197588</v>
      </c>
      <c r="C182" s="87">
        <v>134250</v>
      </c>
      <c r="D182" s="87">
        <v>134249.82</v>
      </c>
      <c r="E182" s="87">
        <v>134249.82</v>
      </c>
      <c r="F182" s="92">
        <f t="shared" si="13"/>
        <v>0.99999865921787712</v>
      </c>
      <c r="G182" s="92">
        <f t="shared" si="14"/>
        <v>0.67944318480879407</v>
      </c>
    </row>
    <row r="183" spans="1:7" ht="13.5" customHeight="1" outlineLevel="3" x14ac:dyDescent="0.25">
      <c r="A183" s="10" t="s">
        <v>15</v>
      </c>
      <c r="B183" s="87">
        <v>1326520</v>
      </c>
      <c r="C183" s="87">
        <v>785970</v>
      </c>
      <c r="D183" s="87">
        <v>783863.8</v>
      </c>
      <c r="E183" s="87">
        <v>783863.8</v>
      </c>
      <c r="F183" s="92">
        <f t="shared" si="13"/>
        <v>0.99732025395371326</v>
      </c>
      <c r="G183" s="92">
        <f t="shared" si="14"/>
        <v>0.59091743810873565</v>
      </c>
    </row>
    <row r="184" spans="1:7" ht="13.5" customHeight="1" outlineLevel="3" x14ac:dyDescent="0.25">
      <c r="A184" s="10" t="s">
        <v>26</v>
      </c>
      <c r="B184" s="87">
        <v>61955</v>
      </c>
      <c r="C184" s="87">
        <v>26500</v>
      </c>
      <c r="D184" s="87">
        <v>26500</v>
      </c>
      <c r="E184" s="87">
        <v>26500</v>
      </c>
      <c r="F184" s="92">
        <f t="shared" si="13"/>
        <v>1</v>
      </c>
      <c r="G184" s="92">
        <f t="shared" si="14"/>
        <v>0.4277298038899201</v>
      </c>
    </row>
    <row r="185" spans="1:7" ht="25.5" customHeight="1" outlineLevel="3" x14ac:dyDescent="0.25">
      <c r="A185" s="10" t="s">
        <v>16</v>
      </c>
      <c r="B185" s="87">
        <v>3000</v>
      </c>
      <c r="C185" s="87">
        <v>3000</v>
      </c>
      <c r="D185" s="89"/>
      <c r="E185" s="89"/>
      <c r="F185" s="92">
        <f t="shared" si="13"/>
        <v>0</v>
      </c>
      <c r="G185" s="92">
        <f t="shared" si="14"/>
        <v>0</v>
      </c>
    </row>
    <row r="186" spans="1:7" ht="27.75" customHeight="1" outlineLevel="3" x14ac:dyDescent="0.25">
      <c r="A186" s="10" t="s">
        <v>56</v>
      </c>
      <c r="B186" s="87">
        <v>1357500</v>
      </c>
      <c r="C186" s="87">
        <v>1357500</v>
      </c>
      <c r="D186" s="89"/>
      <c r="E186" s="89"/>
      <c r="F186" s="92">
        <f t="shared" si="13"/>
        <v>0</v>
      </c>
      <c r="G186" s="92">
        <f t="shared" si="14"/>
        <v>0</v>
      </c>
    </row>
    <row r="187" spans="1:7" s="78" customFormat="1" ht="24.75" customHeight="1" outlineLevel="2" x14ac:dyDescent="0.25">
      <c r="A187" s="8" t="s">
        <v>23</v>
      </c>
      <c r="B187" s="9">
        <v>1143840887</v>
      </c>
      <c r="C187" s="9">
        <f>SUM(C188:C199)</f>
        <v>484924607</v>
      </c>
      <c r="D187" s="9">
        <v>408530297.94</v>
      </c>
      <c r="E187" s="9">
        <v>408530297.93000001</v>
      </c>
      <c r="F187" s="16">
        <f t="shared" si="13"/>
        <v>0.84246147141796823</v>
      </c>
      <c r="G187" s="16">
        <f t="shared" si="14"/>
        <v>0.3571565788415465</v>
      </c>
    </row>
    <row r="188" spans="1:7" ht="12.75" customHeight="1" outlineLevel="3" x14ac:dyDescent="0.25">
      <c r="A188" s="10" t="s">
        <v>9</v>
      </c>
      <c r="B188" s="87">
        <v>670881519</v>
      </c>
      <c r="C188" s="87">
        <f>337765488-C176-C164-C152-C141</f>
        <v>281306538</v>
      </c>
      <c r="D188" s="87">
        <v>276480497.13</v>
      </c>
      <c r="E188" s="87">
        <v>276480497.13</v>
      </c>
      <c r="F188" s="92">
        <f t="shared" si="13"/>
        <v>0.98284419230241993</v>
      </c>
      <c r="G188" s="92">
        <f t="shared" si="14"/>
        <v>0.41211523838384345</v>
      </c>
    </row>
    <row r="189" spans="1:7" ht="12.75" customHeight="1" outlineLevel="3" x14ac:dyDescent="0.25">
      <c r="A189" s="10" t="s">
        <v>10</v>
      </c>
      <c r="B189" s="87">
        <v>147593934</v>
      </c>
      <c r="C189" s="87">
        <f>74308407-C177-C165-C153-C142</f>
        <v>61887439</v>
      </c>
      <c r="D189" s="87">
        <v>59583133.590000004</v>
      </c>
      <c r="E189" s="87">
        <v>59583133.590000004</v>
      </c>
      <c r="F189" s="92">
        <f t="shared" ref="F189:F242" si="16">D189/C189</f>
        <v>0.96276618571985184</v>
      </c>
      <c r="G189" s="92">
        <f t="shared" ref="G189:G242" si="17">D189/B189</f>
        <v>0.40369635780559926</v>
      </c>
    </row>
    <row r="190" spans="1:7" ht="12.75" customHeight="1" outlineLevel="3" x14ac:dyDescent="0.25">
      <c r="A190" s="10" t="s">
        <v>11</v>
      </c>
      <c r="B190" s="87">
        <v>26049108</v>
      </c>
      <c r="C190" s="87">
        <f>12852403-C178-C166-C154-C143</f>
        <v>9558268</v>
      </c>
      <c r="D190" s="87">
        <v>1232509.27</v>
      </c>
      <c r="E190" s="87">
        <v>1232509.27</v>
      </c>
      <c r="F190" s="92">
        <f t="shared" si="16"/>
        <v>0.12894692532161683</v>
      </c>
      <c r="G190" s="92">
        <f t="shared" si="17"/>
        <v>4.7314835886127081E-2</v>
      </c>
    </row>
    <row r="191" spans="1:7" ht="12.75" customHeight="1" outlineLevel="3" x14ac:dyDescent="0.25">
      <c r="A191" s="10" t="s">
        <v>29</v>
      </c>
      <c r="B191" s="87">
        <v>652970</v>
      </c>
      <c r="C191" s="87">
        <f>680087-C179-C167-C155-C144</f>
        <v>652970</v>
      </c>
      <c r="D191" s="89"/>
      <c r="E191" s="89"/>
      <c r="F191" s="92">
        <f t="shared" si="16"/>
        <v>0</v>
      </c>
      <c r="G191" s="92">
        <f t="shared" si="17"/>
        <v>0</v>
      </c>
    </row>
    <row r="192" spans="1:7" ht="12.75" customHeight="1" outlineLevel="3" x14ac:dyDescent="0.25">
      <c r="A192" s="10" t="s">
        <v>34</v>
      </c>
      <c r="B192" s="87">
        <v>55029462</v>
      </c>
      <c r="C192" s="87">
        <f>19869128-C156</f>
        <v>18915678</v>
      </c>
      <c r="D192" s="87">
        <v>3181229.01</v>
      </c>
      <c r="E192" s="87">
        <v>3181229.01</v>
      </c>
      <c r="F192" s="92">
        <f t="shared" si="16"/>
        <v>0.16817948634989449</v>
      </c>
      <c r="G192" s="92">
        <f t="shared" si="17"/>
        <v>5.7809560449636956E-2</v>
      </c>
    </row>
    <row r="193" spans="1:7" ht="12.75" customHeight="1" outlineLevel="3" x14ac:dyDescent="0.25">
      <c r="A193" s="10" t="s">
        <v>12</v>
      </c>
      <c r="B193" s="87">
        <v>131737657</v>
      </c>
      <c r="C193" s="87">
        <f>48689406-C180-C168-C157-C145</f>
        <v>44258584</v>
      </c>
      <c r="D193" s="87">
        <v>8896090.3000000007</v>
      </c>
      <c r="E193" s="87">
        <v>8896090.2899999991</v>
      </c>
      <c r="F193" s="92">
        <f t="shared" si="16"/>
        <v>0.20100259646806595</v>
      </c>
      <c r="G193" s="92">
        <f t="shared" si="17"/>
        <v>6.7528833460276286E-2</v>
      </c>
    </row>
    <row r="194" spans="1:7" ht="12.75" customHeight="1" outlineLevel="3" x14ac:dyDescent="0.25">
      <c r="A194" s="10" t="s">
        <v>13</v>
      </c>
      <c r="B194" s="87">
        <v>78095761</v>
      </c>
      <c r="C194" s="87">
        <f>56465446-C181-C169-C158-C146</f>
        <v>49232990</v>
      </c>
      <c r="D194" s="87">
        <v>41431916.060000002</v>
      </c>
      <c r="E194" s="87">
        <v>41431916.060000002</v>
      </c>
      <c r="F194" s="92">
        <f t="shared" si="16"/>
        <v>0.84154783327195859</v>
      </c>
      <c r="G194" s="92">
        <f t="shared" si="17"/>
        <v>0.53052708020861727</v>
      </c>
    </row>
    <row r="195" spans="1:7" ht="12.75" customHeight="1" outlineLevel="3" x14ac:dyDescent="0.25">
      <c r="A195" s="10" t="s">
        <v>14</v>
      </c>
      <c r="B195" s="87">
        <v>5425963</v>
      </c>
      <c r="C195" s="87">
        <f>4646715-C182-C170-C159-C147</f>
        <v>3753978</v>
      </c>
      <c r="D195" s="87">
        <v>3393659.38</v>
      </c>
      <c r="E195" s="87">
        <v>3393659.38</v>
      </c>
      <c r="F195" s="92">
        <f t="shared" si="16"/>
        <v>0.90401685358838013</v>
      </c>
      <c r="G195" s="92">
        <f t="shared" si="17"/>
        <v>0.62544830843852051</v>
      </c>
    </row>
    <row r="196" spans="1:7" ht="12.75" customHeight="1" outlineLevel="3" x14ac:dyDescent="0.25">
      <c r="A196" s="10" t="s">
        <v>15</v>
      </c>
      <c r="B196" s="87">
        <v>27187250</v>
      </c>
      <c r="C196" s="87">
        <f>18547112-C183-C171-C160-C148</f>
        <v>14636910</v>
      </c>
      <c r="D196" s="87">
        <v>13768705.59</v>
      </c>
      <c r="E196" s="87">
        <v>13768705.59</v>
      </c>
      <c r="F196" s="92">
        <f t="shared" si="16"/>
        <v>0.94068390049539141</v>
      </c>
      <c r="G196" s="92">
        <f t="shared" si="17"/>
        <v>0.50643980505567865</v>
      </c>
    </row>
    <row r="197" spans="1:7" ht="12.75" customHeight="1" outlineLevel="3" x14ac:dyDescent="0.25">
      <c r="A197" s="10" t="s">
        <v>32</v>
      </c>
      <c r="B197" s="87">
        <v>1500</v>
      </c>
      <c r="C197" s="87">
        <f>858</f>
        <v>858</v>
      </c>
      <c r="D197" s="89"/>
      <c r="E197" s="89"/>
      <c r="F197" s="92">
        <f t="shared" si="16"/>
        <v>0</v>
      </c>
      <c r="G197" s="92">
        <f t="shared" si="17"/>
        <v>0</v>
      </c>
    </row>
    <row r="198" spans="1:7" ht="12.75" customHeight="1" outlineLevel="3" x14ac:dyDescent="0.25">
      <c r="A198" s="10" t="s">
        <v>26</v>
      </c>
      <c r="B198" s="87">
        <v>1047763</v>
      </c>
      <c r="C198" s="87">
        <f>704622-C184-C172-C161-C149</f>
        <v>582394</v>
      </c>
      <c r="D198" s="87">
        <v>562557.61</v>
      </c>
      <c r="E198" s="87">
        <v>562557.61</v>
      </c>
      <c r="F198" s="92">
        <f t="shared" si="16"/>
        <v>0.96593991352932895</v>
      </c>
      <c r="G198" s="92">
        <f t="shared" si="17"/>
        <v>0.53691303281371838</v>
      </c>
    </row>
    <row r="199" spans="1:7" ht="29.25" customHeight="1" outlineLevel="3" x14ac:dyDescent="0.25">
      <c r="A199" s="10" t="s">
        <v>16</v>
      </c>
      <c r="B199" s="87">
        <v>138000</v>
      </c>
      <c r="C199" s="87">
        <f>150000-C185-C173-C162-C150</f>
        <v>138000</v>
      </c>
      <c r="D199" s="89"/>
      <c r="E199" s="89"/>
      <c r="F199" s="92">
        <f t="shared" si="16"/>
        <v>0</v>
      </c>
      <c r="G199" s="92">
        <f t="shared" si="17"/>
        <v>0</v>
      </c>
    </row>
    <row r="200" spans="1:7" ht="66.75" customHeight="1" outlineLevel="1" x14ac:dyDescent="0.25">
      <c r="A200" s="28" t="s">
        <v>67</v>
      </c>
      <c r="B200" s="93">
        <v>64716290</v>
      </c>
      <c r="C200" s="93">
        <f>C201</f>
        <v>27506555</v>
      </c>
      <c r="D200" s="93">
        <v>21765593.219999999</v>
      </c>
      <c r="E200" s="93">
        <v>21765593.219999999</v>
      </c>
      <c r="F200" s="94">
        <f t="shared" si="16"/>
        <v>0.79128750292430294</v>
      </c>
      <c r="G200" s="94">
        <f t="shared" si="17"/>
        <v>0.33632325369702126</v>
      </c>
    </row>
    <row r="201" spans="1:7" s="78" customFormat="1" ht="27" customHeight="1" outlineLevel="2" x14ac:dyDescent="0.25">
      <c r="A201" s="8" t="s">
        <v>23</v>
      </c>
      <c r="B201" s="9">
        <v>64716290</v>
      </c>
      <c r="C201" s="9">
        <f>SUM(C202:C214)</f>
        <v>27506555</v>
      </c>
      <c r="D201" s="9">
        <v>21765593.219999999</v>
      </c>
      <c r="E201" s="9">
        <v>21765593.219999999</v>
      </c>
      <c r="F201" s="16">
        <f t="shared" si="16"/>
        <v>0.79128750292430294</v>
      </c>
      <c r="G201" s="16">
        <f t="shared" si="17"/>
        <v>0.33632325369702126</v>
      </c>
    </row>
    <row r="202" spans="1:7" ht="12.75" customHeight="1" outlineLevel="3" x14ac:dyDescent="0.25">
      <c r="A202" s="10" t="s">
        <v>9</v>
      </c>
      <c r="B202" s="87">
        <v>36926577</v>
      </c>
      <c r="C202" s="87">
        <v>14232601</v>
      </c>
      <c r="D202" s="87">
        <v>14136724.390000001</v>
      </c>
      <c r="E202" s="87">
        <v>14136724.390000001</v>
      </c>
      <c r="F202" s="92">
        <f t="shared" si="16"/>
        <v>0.99326359180588286</v>
      </c>
      <c r="G202" s="92">
        <f t="shared" si="17"/>
        <v>0.38283332868898196</v>
      </c>
    </row>
    <row r="203" spans="1:7" ht="12.75" customHeight="1" outlineLevel="3" x14ac:dyDescent="0.25">
      <c r="A203" s="10" t="s">
        <v>10</v>
      </c>
      <c r="B203" s="87">
        <v>8123847</v>
      </c>
      <c r="C203" s="87">
        <v>3131175</v>
      </c>
      <c r="D203" s="87">
        <v>3059896.33</v>
      </c>
      <c r="E203" s="87">
        <v>3059896.33</v>
      </c>
      <c r="F203" s="92">
        <f t="shared" si="16"/>
        <v>0.97723580764409534</v>
      </c>
      <c r="G203" s="92">
        <f t="shared" si="17"/>
        <v>0.37665607562525488</v>
      </c>
    </row>
    <row r="204" spans="1:7" ht="12.75" customHeight="1" outlineLevel="3" x14ac:dyDescent="0.25">
      <c r="A204" s="10" t="s">
        <v>11</v>
      </c>
      <c r="B204" s="87">
        <v>2000000</v>
      </c>
      <c r="C204" s="87">
        <v>1500000</v>
      </c>
      <c r="D204" s="87">
        <v>26626.32</v>
      </c>
      <c r="E204" s="87">
        <v>26626.32</v>
      </c>
      <c r="F204" s="92">
        <f t="shared" si="16"/>
        <v>1.775088E-2</v>
      </c>
      <c r="G204" s="92">
        <f t="shared" si="17"/>
        <v>1.3313159999999999E-2</v>
      </c>
    </row>
    <row r="205" spans="1:7" ht="12.75" customHeight="1" outlineLevel="3" x14ac:dyDescent="0.25">
      <c r="A205" s="10" t="s">
        <v>29</v>
      </c>
      <c r="B205" s="87">
        <v>30000</v>
      </c>
      <c r="C205" s="87">
        <v>30000</v>
      </c>
      <c r="D205" s="89"/>
      <c r="E205" s="89"/>
      <c r="F205" s="92">
        <f t="shared" si="16"/>
        <v>0</v>
      </c>
      <c r="G205" s="92">
        <f t="shared" si="17"/>
        <v>0</v>
      </c>
    </row>
    <row r="206" spans="1:7" ht="12.75" customHeight="1" outlineLevel="3" x14ac:dyDescent="0.25">
      <c r="A206" s="10" t="s">
        <v>34</v>
      </c>
      <c r="B206" s="87">
        <v>4187462</v>
      </c>
      <c r="C206" s="87">
        <v>2310000</v>
      </c>
      <c r="D206" s="87">
        <v>1097490.5</v>
      </c>
      <c r="E206" s="87">
        <v>1097490.5</v>
      </c>
      <c r="F206" s="92">
        <f t="shared" si="16"/>
        <v>0.47510411255411256</v>
      </c>
      <c r="G206" s="92">
        <f t="shared" si="17"/>
        <v>0.26208966194797706</v>
      </c>
    </row>
    <row r="207" spans="1:7" ht="12.75" customHeight="1" outlineLevel="3" x14ac:dyDescent="0.25">
      <c r="A207" s="10" t="s">
        <v>12</v>
      </c>
      <c r="B207" s="87">
        <v>3025300</v>
      </c>
      <c r="C207" s="87">
        <v>1125300</v>
      </c>
      <c r="D207" s="87">
        <v>145265.46</v>
      </c>
      <c r="E207" s="87">
        <v>145265.46</v>
      </c>
      <c r="F207" s="92">
        <f t="shared" si="16"/>
        <v>0.12909042921887495</v>
      </c>
      <c r="G207" s="92">
        <f t="shared" si="17"/>
        <v>4.8016877665024951E-2</v>
      </c>
    </row>
    <row r="208" spans="1:7" ht="12.75" customHeight="1" outlineLevel="3" x14ac:dyDescent="0.25">
      <c r="A208" s="10" t="s">
        <v>13</v>
      </c>
      <c r="B208" s="87">
        <v>6494319</v>
      </c>
      <c r="C208" s="87">
        <v>4378096</v>
      </c>
      <c r="D208" s="87">
        <v>2584170.4900000002</v>
      </c>
      <c r="E208" s="87">
        <v>2584170.4900000002</v>
      </c>
      <c r="F208" s="92">
        <f t="shared" si="16"/>
        <v>0.59024984605179975</v>
      </c>
      <c r="G208" s="92">
        <f t="shared" si="17"/>
        <v>0.39791246626474619</v>
      </c>
    </row>
    <row r="209" spans="1:7" ht="12.75" customHeight="1" outlineLevel="3" x14ac:dyDescent="0.25">
      <c r="A209" s="10" t="s">
        <v>14</v>
      </c>
      <c r="B209" s="87">
        <v>285424</v>
      </c>
      <c r="C209" s="87">
        <v>188975</v>
      </c>
      <c r="D209" s="87">
        <v>150032.22</v>
      </c>
      <c r="E209" s="87">
        <v>150032.22</v>
      </c>
      <c r="F209" s="92">
        <f t="shared" si="16"/>
        <v>0.79392628654583941</v>
      </c>
      <c r="G209" s="92">
        <f t="shared" si="17"/>
        <v>0.5256468271764112</v>
      </c>
    </row>
    <row r="210" spans="1:7" ht="12.75" customHeight="1" outlineLevel="3" x14ac:dyDescent="0.25">
      <c r="A210" s="10" t="s">
        <v>15</v>
      </c>
      <c r="B210" s="87">
        <v>1091140</v>
      </c>
      <c r="C210" s="87">
        <v>584000</v>
      </c>
      <c r="D210" s="87">
        <v>548111.93999999994</v>
      </c>
      <c r="E210" s="87">
        <v>548111.93999999994</v>
      </c>
      <c r="F210" s="92">
        <f t="shared" si="16"/>
        <v>0.93854784246575329</v>
      </c>
      <c r="G210" s="92">
        <f t="shared" si="17"/>
        <v>0.50232961856407055</v>
      </c>
    </row>
    <row r="211" spans="1:7" ht="12.75" customHeight="1" outlineLevel="3" x14ac:dyDescent="0.25">
      <c r="A211" s="10" t="s">
        <v>32</v>
      </c>
      <c r="B211" s="87">
        <v>2000</v>
      </c>
      <c r="C211" s="87">
        <v>1165</v>
      </c>
      <c r="D211" s="88">
        <v>280.32</v>
      </c>
      <c r="E211" s="88">
        <v>280.32</v>
      </c>
      <c r="F211" s="92">
        <f t="shared" si="16"/>
        <v>0.24061802575107297</v>
      </c>
      <c r="G211" s="92">
        <f t="shared" si="17"/>
        <v>0.14016000000000001</v>
      </c>
    </row>
    <row r="212" spans="1:7" ht="12.75" customHeight="1" outlineLevel="3" x14ac:dyDescent="0.25">
      <c r="A212" s="10" t="s">
        <v>26</v>
      </c>
      <c r="B212" s="87">
        <v>44221</v>
      </c>
      <c r="C212" s="87">
        <v>19243</v>
      </c>
      <c r="D212" s="87">
        <v>16995.25</v>
      </c>
      <c r="E212" s="87">
        <v>16995.25</v>
      </c>
      <c r="F212" s="92">
        <f t="shared" si="16"/>
        <v>0.88319129033934418</v>
      </c>
      <c r="G212" s="92">
        <f t="shared" si="17"/>
        <v>0.38432532054906038</v>
      </c>
    </row>
    <row r="213" spans="1:7" ht="26.25" customHeight="1" outlineLevel="3" x14ac:dyDescent="0.25">
      <c r="A213" s="10" t="s">
        <v>16</v>
      </c>
      <c r="B213" s="87">
        <v>6000</v>
      </c>
      <c r="C213" s="87">
        <v>6000</v>
      </c>
      <c r="D213" s="89"/>
      <c r="E213" s="89"/>
      <c r="F213" s="92">
        <f t="shared" si="16"/>
        <v>0</v>
      </c>
      <c r="G213" s="92">
        <f t="shared" si="17"/>
        <v>0</v>
      </c>
    </row>
    <row r="214" spans="1:7" ht="29.25" customHeight="1" outlineLevel="3" x14ac:dyDescent="0.25">
      <c r="A214" s="10" t="s">
        <v>56</v>
      </c>
      <c r="B214" s="87">
        <v>2500000</v>
      </c>
      <c r="C214" s="87"/>
      <c r="D214" s="89"/>
      <c r="E214" s="89"/>
      <c r="F214" s="92">
        <v>0</v>
      </c>
      <c r="G214" s="92">
        <f t="shared" si="17"/>
        <v>0</v>
      </c>
    </row>
    <row r="215" spans="1:7" ht="40.5" customHeight="1" outlineLevel="1" x14ac:dyDescent="0.25">
      <c r="A215" s="28" t="s">
        <v>68</v>
      </c>
      <c r="B215" s="93">
        <f>B216+B228</f>
        <v>95619563</v>
      </c>
      <c r="C215" s="93">
        <f t="shared" ref="C215:E215" si="18">C216+C228</f>
        <v>40322466</v>
      </c>
      <c r="D215" s="93">
        <f t="shared" si="18"/>
        <v>28776408.079999998</v>
      </c>
      <c r="E215" s="93">
        <f t="shared" si="18"/>
        <v>28776408.079999998</v>
      </c>
      <c r="F215" s="94">
        <f t="shared" si="16"/>
        <v>0.7136569494534386</v>
      </c>
      <c r="G215" s="94">
        <f t="shared" si="17"/>
        <v>0.30094686879085608</v>
      </c>
    </row>
    <row r="216" spans="1:7" s="78" customFormat="1" ht="25.5" customHeight="1" outlineLevel="2" x14ac:dyDescent="0.25">
      <c r="A216" s="8" t="s">
        <v>23</v>
      </c>
      <c r="B216" s="9">
        <v>32374014</v>
      </c>
      <c r="C216" s="9">
        <f>SUM(C217:C227)</f>
        <v>14077500</v>
      </c>
      <c r="D216" s="9">
        <v>8656512.9700000007</v>
      </c>
      <c r="E216" s="9">
        <v>8656512.9700000007</v>
      </c>
      <c r="F216" s="16">
        <f t="shared" si="16"/>
        <v>0.61491834274551593</v>
      </c>
      <c r="G216" s="16">
        <f t="shared" si="17"/>
        <v>0.26739078354633444</v>
      </c>
    </row>
    <row r="217" spans="1:7" ht="12.75" customHeight="1" outlineLevel="3" x14ac:dyDescent="0.25">
      <c r="A217" s="10" t="s">
        <v>9</v>
      </c>
      <c r="B217" s="87">
        <v>16695100</v>
      </c>
      <c r="C217" s="87">
        <f>23245856-C229</f>
        <v>6692156</v>
      </c>
      <c r="D217" s="87">
        <v>6445108.04</v>
      </c>
      <c r="E217" s="87">
        <v>6445108.04</v>
      </c>
      <c r="F217" s="92">
        <f t="shared" si="16"/>
        <v>0.96308395082242559</v>
      </c>
      <c r="G217" s="92">
        <f t="shared" si="17"/>
        <v>0.38604788470868701</v>
      </c>
    </row>
    <row r="218" spans="1:7" ht="12.75" customHeight="1" outlineLevel="3" x14ac:dyDescent="0.25">
      <c r="A218" s="10" t="s">
        <v>10</v>
      </c>
      <c r="B218" s="87">
        <v>3672922</v>
      </c>
      <c r="C218" s="87">
        <f>5114089-C230</f>
        <v>1472275</v>
      </c>
      <c r="D218" s="87">
        <v>1436373.34</v>
      </c>
      <c r="E218" s="87">
        <v>1436373.34</v>
      </c>
      <c r="F218" s="92">
        <f t="shared" si="16"/>
        <v>0.97561484097739903</v>
      </c>
      <c r="G218" s="92">
        <f t="shared" si="17"/>
        <v>0.39107101648224496</v>
      </c>
    </row>
    <row r="219" spans="1:7" ht="12.75" customHeight="1" outlineLevel="3" x14ac:dyDescent="0.25">
      <c r="A219" s="10" t="s">
        <v>11</v>
      </c>
      <c r="B219" s="87">
        <v>1590000</v>
      </c>
      <c r="C219" s="87">
        <f>2590000-C231</f>
        <v>990000</v>
      </c>
      <c r="D219" s="87">
        <v>5759.56</v>
      </c>
      <c r="E219" s="87">
        <v>5759.56</v>
      </c>
      <c r="F219" s="92">
        <f t="shared" si="16"/>
        <v>5.8177373737373743E-3</v>
      </c>
      <c r="G219" s="92">
        <f t="shared" si="17"/>
        <v>3.6223647798742141E-3</v>
      </c>
    </row>
    <row r="220" spans="1:7" ht="12.75" customHeight="1" outlineLevel="3" x14ac:dyDescent="0.25">
      <c r="A220" s="10" t="s">
        <v>29</v>
      </c>
      <c r="B220" s="87">
        <v>15000</v>
      </c>
      <c r="C220" s="87">
        <f>30000-C232</f>
        <v>15000</v>
      </c>
      <c r="D220" s="89"/>
      <c r="E220" s="89"/>
      <c r="F220" s="92">
        <f t="shared" si="16"/>
        <v>0</v>
      </c>
      <c r="G220" s="92">
        <f t="shared" si="17"/>
        <v>0</v>
      </c>
    </row>
    <row r="221" spans="1:7" ht="12.75" customHeight="1" outlineLevel="3" x14ac:dyDescent="0.25">
      <c r="A221" s="10" t="s">
        <v>34</v>
      </c>
      <c r="B221" s="87">
        <v>1288409</v>
      </c>
      <c r="C221" s="87"/>
      <c r="D221" s="89"/>
      <c r="E221" s="89"/>
      <c r="F221" s="92">
        <v>0</v>
      </c>
      <c r="G221" s="92">
        <f t="shared" si="17"/>
        <v>0</v>
      </c>
    </row>
    <row r="222" spans="1:7" ht="12.75" customHeight="1" outlineLevel="3" x14ac:dyDescent="0.25">
      <c r="A222" s="10" t="s">
        <v>12</v>
      </c>
      <c r="B222" s="87">
        <v>6146400</v>
      </c>
      <c r="C222" s="87">
        <f>6850000-C233</f>
        <v>3250000</v>
      </c>
      <c r="D222" s="87">
        <v>222433.73</v>
      </c>
      <c r="E222" s="87">
        <v>222433.73</v>
      </c>
      <c r="F222" s="92">
        <f t="shared" si="16"/>
        <v>6.8441147692307691E-2</v>
      </c>
      <c r="G222" s="92">
        <f t="shared" si="17"/>
        <v>3.618927014187167E-2</v>
      </c>
    </row>
    <row r="223" spans="1:7" ht="12.75" customHeight="1" outlineLevel="3" x14ac:dyDescent="0.25">
      <c r="A223" s="10" t="s">
        <v>13</v>
      </c>
      <c r="B223" s="87">
        <v>2295071</v>
      </c>
      <c r="C223" s="87">
        <f>1685741-C234</f>
        <v>1440013</v>
      </c>
      <c r="D223" s="87">
        <v>344862.42</v>
      </c>
      <c r="E223" s="87">
        <v>344862.42</v>
      </c>
      <c r="F223" s="92">
        <f t="shared" si="16"/>
        <v>0.23948562964362127</v>
      </c>
      <c r="G223" s="92">
        <f t="shared" si="17"/>
        <v>0.15026220103866067</v>
      </c>
    </row>
    <row r="224" spans="1:7" ht="12.75" customHeight="1" outlineLevel="3" x14ac:dyDescent="0.25">
      <c r="A224" s="10" t="s">
        <v>14</v>
      </c>
      <c r="B224" s="87">
        <v>52570</v>
      </c>
      <c r="C224" s="87">
        <f>80290-C235</f>
        <v>36040</v>
      </c>
      <c r="D224" s="87">
        <v>31915.3</v>
      </c>
      <c r="E224" s="87">
        <v>31915.3</v>
      </c>
      <c r="F224" s="92">
        <f t="shared" si="16"/>
        <v>0.88555216426193117</v>
      </c>
      <c r="G224" s="92">
        <f t="shared" si="17"/>
        <v>0.60710100817957013</v>
      </c>
    </row>
    <row r="225" spans="1:7" ht="12.75" customHeight="1" outlineLevel="3" x14ac:dyDescent="0.25">
      <c r="A225" s="10" t="s">
        <v>15</v>
      </c>
      <c r="B225" s="87">
        <v>590760</v>
      </c>
      <c r="C225" s="87">
        <f>695974-C236</f>
        <v>167500</v>
      </c>
      <c r="D225" s="87">
        <v>167444.76999999999</v>
      </c>
      <c r="E225" s="87">
        <v>167444.76999999999</v>
      </c>
      <c r="F225" s="92">
        <f t="shared" si="16"/>
        <v>0.99967026865671638</v>
      </c>
      <c r="G225" s="92">
        <f t="shared" si="17"/>
        <v>0.28343958629561916</v>
      </c>
    </row>
    <row r="226" spans="1:7" ht="12.75" customHeight="1" outlineLevel="3" x14ac:dyDescent="0.25">
      <c r="A226" s="10" t="s">
        <v>26</v>
      </c>
      <c r="B226" s="87">
        <v>24782</v>
      </c>
      <c r="C226" s="87">
        <f>24516-C237</f>
        <v>11516</v>
      </c>
      <c r="D226" s="87">
        <v>2615.81</v>
      </c>
      <c r="E226" s="87">
        <v>2615.81</v>
      </c>
      <c r="F226" s="92">
        <f t="shared" si="16"/>
        <v>0.22714571031608197</v>
      </c>
      <c r="G226" s="92">
        <f t="shared" si="17"/>
        <v>0.10555282059559358</v>
      </c>
    </row>
    <row r="227" spans="1:7" ht="27.75" customHeight="1" outlineLevel="3" x14ac:dyDescent="0.25">
      <c r="A227" s="10" t="s">
        <v>16</v>
      </c>
      <c r="B227" s="87">
        <v>3000</v>
      </c>
      <c r="C227" s="87">
        <f>6000-C238</f>
        <v>3000</v>
      </c>
      <c r="D227" s="89"/>
      <c r="E227" s="89"/>
      <c r="F227" s="92">
        <f t="shared" si="16"/>
        <v>0</v>
      </c>
      <c r="G227" s="92">
        <f t="shared" si="17"/>
        <v>0</v>
      </c>
    </row>
    <row r="228" spans="1:7" s="78" customFormat="1" ht="16.5" customHeight="1" outlineLevel="2" x14ac:dyDescent="0.25">
      <c r="A228" s="8" t="s">
        <v>36</v>
      </c>
      <c r="B228" s="9">
        <v>63245549</v>
      </c>
      <c r="C228" s="9">
        <v>26244966</v>
      </c>
      <c r="D228" s="9">
        <v>20119895.109999999</v>
      </c>
      <c r="E228" s="9">
        <v>20119895.109999999</v>
      </c>
      <c r="F228" s="16">
        <f t="shared" si="16"/>
        <v>0.76661921032780156</v>
      </c>
      <c r="G228" s="16">
        <f t="shared" si="17"/>
        <v>0.31812349529925021</v>
      </c>
    </row>
    <row r="229" spans="1:7" ht="12" customHeight="1" outlineLevel="3" x14ac:dyDescent="0.25">
      <c r="A229" s="10" t="s">
        <v>9</v>
      </c>
      <c r="B229" s="87">
        <v>43835385</v>
      </c>
      <c r="C229" s="87">
        <v>16553700</v>
      </c>
      <c r="D229" s="87">
        <v>15314349.08</v>
      </c>
      <c r="E229" s="87">
        <v>15314349.08</v>
      </c>
      <c r="F229" s="92">
        <f t="shared" si="16"/>
        <v>0.92513148601219064</v>
      </c>
      <c r="G229" s="92">
        <f t="shared" si="17"/>
        <v>0.34936043290141061</v>
      </c>
    </row>
    <row r="230" spans="1:7" ht="12" customHeight="1" outlineLevel="3" x14ac:dyDescent="0.25">
      <c r="A230" s="10" t="s">
        <v>10</v>
      </c>
      <c r="B230" s="87">
        <v>9643785</v>
      </c>
      <c r="C230" s="87">
        <v>3641814</v>
      </c>
      <c r="D230" s="87">
        <v>3331762.06</v>
      </c>
      <c r="E230" s="87">
        <v>3331762.06</v>
      </c>
      <c r="F230" s="92">
        <f t="shared" si="16"/>
        <v>0.91486332360741107</v>
      </c>
      <c r="G230" s="92">
        <f t="shared" si="17"/>
        <v>0.34548282235657474</v>
      </c>
    </row>
    <row r="231" spans="1:7" ht="12" customHeight="1" outlineLevel="3" x14ac:dyDescent="0.25">
      <c r="A231" s="10" t="s">
        <v>11</v>
      </c>
      <c r="B231" s="87">
        <v>2600000</v>
      </c>
      <c r="C231" s="87">
        <v>1600000</v>
      </c>
      <c r="D231" s="87">
        <v>373157.79</v>
      </c>
      <c r="E231" s="87">
        <v>373157.79</v>
      </c>
      <c r="F231" s="92">
        <f t="shared" si="16"/>
        <v>0.23322361875</v>
      </c>
      <c r="G231" s="92">
        <f t="shared" si="17"/>
        <v>0.14352222692307692</v>
      </c>
    </row>
    <row r="232" spans="1:7" ht="12" customHeight="1" outlineLevel="3" x14ac:dyDescent="0.25">
      <c r="A232" s="10" t="s">
        <v>29</v>
      </c>
      <c r="B232" s="87">
        <v>15000</v>
      </c>
      <c r="C232" s="87">
        <v>15000</v>
      </c>
      <c r="D232" s="89"/>
      <c r="E232" s="89"/>
      <c r="F232" s="92">
        <f t="shared" si="16"/>
        <v>0</v>
      </c>
      <c r="G232" s="92">
        <f t="shared" si="17"/>
        <v>0</v>
      </c>
    </row>
    <row r="233" spans="1:7" ht="12" customHeight="1" outlineLevel="3" x14ac:dyDescent="0.25">
      <c r="A233" s="10" t="s">
        <v>12</v>
      </c>
      <c r="B233" s="87">
        <v>5353600</v>
      </c>
      <c r="C233" s="87">
        <v>3600000</v>
      </c>
      <c r="D233" s="87">
        <v>387924.66</v>
      </c>
      <c r="E233" s="87">
        <v>387924.66</v>
      </c>
      <c r="F233" s="92">
        <f t="shared" si="16"/>
        <v>0.10775684999999999</v>
      </c>
      <c r="G233" s="92">
        <f t="shared" si="17"/>
        <v>7.2460523759713083E-2</v>
      </c>
    </row>
    <row r="234" spans="1:7" ht="12" customHeight="1" outlineLevel="3" x14ac:dyDescent="0.25">
      <c r="A234" s="10" t="s">
        <v>13</v>
      </c>
      <c r="B234" s="87">
        <v>708003</v>
      </c>
      <c r="C234" s="87">
        <v>245728</v>
      </c>
      <c r="D234" s="87">
        <v>130763.79</v>
      </c>
      <c r="E234" s="87">
        <v>130763.79</v>
      </c>
      <c r="F234" s="92">
        <f t="shared" si="16"/>
        <v>0.53214851380388073</v>
      </c>
      <c r="G234" s="92">
        <f t="shared" si="17"/>
        <v>0.18469383604306761</v>
      </c>
    </row>
    <row r="235" spans="1:7" ht="12" customHeight="1" outlineLevel="3" x14ac:dyDescent="0.25">
      <c r="A235" s="10" t="s">
        <v>14</v>
      </c>
      <c r="B235" s="87">
        <v>95502</v>
      </c>
      <c r="C235" s="87">
        <v>44250</v>
      </c>
      <c r="D235" s="87">
        <v>44129.35</v>
      </c>
      <c r="E235" s="87">
        <v>44129.35</v>
      </c>
      <c r="F235" s="92">
        <f t="shared" si="16"/>
        <v>0.99727344632768355</v>
      </c>
      <c r="G235" s="92">
        <f t="shared" si="17"/>
        <v>0.46207775753387365</v>
      </c>
    </row>
    <row r="236" spans="1:7" ht="12" customHeight="1" outlineLevel="3" x14ac:dyDescent="0.25">
      <c r="A236" s="10" t="s">
        <v>15</v>
      </c>
      <c r="B236" s="87">
        <v>960000</v>
      </c>
      <c r="C236" s="87">
        <v>528474</v>
      </c>
      <c r="D236" s="87">
        <v>528529.23</v>
      </c>
      <c r="E236" s="87">
        <v>528529.23</v>
      </c>
      <c r="F236" s="92">
        <f t="shared" si="16"/>
        <v>1.000104508452639</v>
      </c>
      <c r="G236" s="92">
        <f t="shared" si="17"/>
        <v>0.55055128124999997</v>
      </c>
    </row>
    <row r="237" spans="1:7" ht="12" customHeight="1" outlineLevel="3" x14ac:dyDescent="0.25">
      <c r="A237" s="10" t="s">
        <v>26</v>
      </c>
      <c r="B237" s="87">
        <v>31274</v>
      </c>
      <c r="C237" s="87">
        <v>13000</v>
      </c>
      <c r="D237" s="87">
        <v>9279.15</v>
      </c>
      <c r="E237" s="87">
        <v>9279.15</v>
      </c>
      <c r="F237" s="92">
        <f t="shared" si="16"/>
        <v>0.71378076923076916</v>
      </c>
      <c r="G237" s="92">
        <f t="shared" si="17"/>
        <v>0.29670493061328901</v>
      </c>
    </row>
    <row r="238" spans="1:7" ht="27.75" customHeight="1" outlineLevel="3" x14ac:dyDescent="0.25">
      <c r="A238" s="10" t="s">
        <v>16</v>
      </c>
      <c r="B238" s="87">
        <v>3000</v>
      </c>
      <c r="C238" s="87">
        <v>3000</v>
      </c>
      <c r="D238" s="89"/>
      <c r="E238" s="89"/>
      <c r="F238" s="92">
        <f t="shared" si="16"/>
        <v>0</v>
      </c>
      <c r="G238" s="92">
        <f t="shared" si="17"/>
        <v>0</v>
      </c>
    </row>
    <row r="239" spans="1:7" ht="30" customHeight="1" outlineLevel="1" x14ac:dyDescent="0.25">
      <c r="A239" s="28" t="s">
        <v>69</v>
      </c>
      <c r="B239" s="93">
        <f>B240+B242+B244+B246+B248+B250+B252+B255+B257+B260+B263+B266+B270+B272+B274</f>
        <v>615880107</v>
      </c>
      <c r="C239" s="93">
        <f t="shared" ref="C239:E239" si="19">C240+C242+C244+C246+C248+C250+C252+C255+C257+C260+C263+C266+C270+C272+C274</f>
        <v>390199053</v>
      </c>
      <c r="D239" s="93">
        <f t="shared" si="19"/>
        <v>390165154</v>
      </c>
      <c r="E239" s="93">
        <f t="shared" si="19"/>
        <v>388385734.26999998</v>
      </c>
      <c r="F239" s="94">
        <f t="shared" si="16"/>
        <v>0.99991312382810937</v>
      </c>
      <c r="G239" s="94">
        <f t="shared" si="17"/>
        <v>0.63350829092455163</v>
      </c>
    </row>
    <row r="240" spans="1:7" s="78" customFormat="1" ht="24" customHeight="1" outlineLevel="2" x14ac:dyDescent="0.25">
      <c r="A240" s="8" t="s">
        <v>107</v>
      </c>
      <c r="B240" s="9">
        <v>294000</v>
      </c>
      <c r="C240" s="9">
        <v>294000</v>
      </c>
      <c r="D240" s="9">
        <v>294000</v>
      </c>
      <c r="E240" s="9">
        <v>294000</v>
      </c>
      <c r="F240" s="16">
        <f t="shared" si="16"/>
        <v>1</v>
      </c>
      <c r="G240" s="16">
        <f t="shared" si="17"/>
        <v>1</v>
      </c>
    </row>
    <row r="241" spans="1:7" ht="28.5" customHeight="1" outlineLevel="3" x14ac:dyDescent="0.25">
      <c r="A241" s="10" t="s">
        <v>37</v>
      </c>
      <c r="B241" s="87">
        <v>294000</v>
      </c>
      <c r="C241" s="87">
        <v>294000</v>
      </c>
      <c r="D241" s="87">
        <v>294000</v>
      </c>
      <c r="E241" s="87">
        <v>294000</v>
      </c>
      <c r="F241" s="92">
        <f t="shared" si="16"/>
        <v>1</v>
      </c>
      <c r="G241" s="92">
        <f t="shared" si="17"/>
        <v>1</v>
      </c>
    </row>
    <row r="242" spans="1:7" s="78" customFormat="1" ht="15" customHeight="1" outlineLevel="2" x14ac:dyDescent="0.25">
      <c r="A242" s="8" t="s">
        <v>108</v>
      </c>
      <c r="B242" s="9">
        <v>114625</v>
      </c>
      <c r="C242" s="9">
        <v>114625</v>
      </c>
      <c r="D242" s="9">
        <v>114625</v>
      </c>
      <c r="E242" s="9">
        <v>114625</v>
      </c>
      <c r="F242" s="16">
        <f t="shared" si="16"/>
        <v>1</v>
      </c>
      <c r="G242" s="16">
        <f t="shared" si="17"/>
        <v>1</v>
      </c>
    </row>
    <row r="243" spans="1:7" ht="26.25" customHeight="1" outlineLevel="3" x14ac:dyDescent="0.25">
      <c r="A243" s="10" t="s">
        <v>37</v>
      </c>
      <c r="B243" s="87">
        <v>114625</v>
      </c>
      <c r="C243" s="87">
        <v>114625</v>
      </c>
      <c r="D243" s="87">
        <v>114625</v>
      </c>
      <c r="E243" s="87">
        <v>114625</v>
      </c>
      <c r="F243" s="92">
        <f t="shared" ref="F243:F303" si="20">D243/C243</f>
        <v>1</v>
      </c>
      <c r="G243" s="92">
        <f t="shared" ref="G243:G303" si="21">D243/B243</f>
        <v>1</v>
      </c>
    </row>
    <row r="244" spans="1:7" s="78" customFormat="1" ht="24.75" customHeight="1" outlineLevel="2" x14ac:dyDescent="0.25">
      <c r="A244" s="8" t="s">
        <v>109</v>
      </c>
      <c r="B244" s="9">
        <v>249125</v>
      </c>
      <c r="C244" s="9">
        <v>249125</v>
      </c>
      <c r="D244" s="9">
        <v>249125</v>
      </c>
      <c r="E244" s="9">
        <v>236420.54</v>
      </c>
      <c r="F244" s="16">
        <f t="shared" si="20"/>
        <v>1</v>
      </c>
      <c r="G244" s="16">
        <f t="shared" si="21"/>
        <v>1</v>
      </c>
    </row>
    <row r="245" spans="1:7" ht="24.75" customHeight="1" outlineLevel="3" x14ac:dyDescent="0.25">
      <c r="A245" s="10" t="s">
        <v>37</v>
      </c>
      <c r="B245" s="87">
        <v>249125</v>
      </c>
      <c r="C245" s="87">
        <v>249125</v>
      </c>
      <c r="D245" s="87">
        <v>249125</v>
      </c>
      <c r="E245" s="87">
        <v>236420.54</v>
      </c>
      <c r="F245" s="92">
        <f t="shared" si="20"/>
        <v>1</v>
      </c>
      <c r="G245" s="92">
        <f t="shared" si="21"/>
        <v>1</v>
      </c>
    </row>
    <row r="246" spans="1:7" s="78" customFormat="1" ht="24.75" customHeight="1" outlineLevel="2" x14ac:dyDescent="0.25">
      <c r="A246" s="8" t="s">
        <v>110</v>
      </c>
      <c r="B246" s="9">
        <v>194375</v>
      </c>
      <c r="C246" s="9">
        <v>194375</v>
      </c>
      <c r="D246" s="9">
        <v>194375</v>
      </c>
      <c r="E246" s="9">
        <v>194375</v>
      </c>
      <c r="F246" s="16">
        <f t="shared" si="20"/>
        <v>1</v>
      </c>
      <c r="G246" s="16">
        <f t="shared" si="21"/>
        <v>1</v>
      </c>
    </row>
    <row r="247" spans="1:7" ht="24.75" customHeight="1" outlineLevel="3" x14ac:dyDescent="0.25">
      <c r="A247" s="10" t="s">
        <v>37</v>
      </c>
      <c r="B247" s="87">
        <v>194375</v>
      </c>
      <c r="C247" s="87">
        <v>194375</v>
      </c>
      <c r="D247" s="87">
        <v>194375</v>
      </c>
      <c r="E247" s="87">
        <v>194375</v>
      </c>
      <c r="F247" s="92">
        <f t="shared" si="20"/>
        <v>1</v>
      </c>
      <c r="G247" s="92">
        <f t="shared" si="21"/>
        <v>1</v>
      </c>
    </row>
    <row r="248" spans="1:7" s="78" customFormat="1" ht="24.75" customHeight="1" outlineLevel="2" x14ac:dyDescent="0.25">
      <c r="A248" s="8" t="s">
        <v>111</v>
      </c>
      <c r="B248" s="9">
        <v>2010187</v>
      </c>
      <c r="C248" s="9">
        <v>2010187</v>
      </c>
      <c r="D248" s="9">
        <v>2010187</v>
      </c>
      <c r="E248" s="9">
        <v>2010187</v>
      </c>
      <c r="F248" s="16">
        <f t="shared" si="20"/>
        <v>1</v>
      </c>
      <c r="G248" s="16">
        <f t="shared" si="21"/>
        <v>1</v>
      </c>
    </row>
    <row r="249" spans="1:7" ht="24.75" customHeight="1" outlineLevel="3" x14ac:dyDescent="0.25">
      <c r="A249" s="10" t="s">
        <v>37</v>
      </c>
      <c r="B249" s="87">
        <v>2010187</v>
      </c>
      <c r="C249" s="87">
        <v>2010187</v>
      </c>
      <c r="D249" s="87">
        <v>2010187</v>
      </c>
      <c r="E249" s="87">
        <v>2010187</v>
      </c>
      <c r="F249" s="92">
        <f t="shared" si="20"/>
        <v>1</v>
      </c>
      <c r="G249" s="92">
        <f t="shared" si="21"/>
        <v>1</v>
      </c>
    </row>
    <row r="250" spans="1:7" s="78" customFormat="1" ht="24.75" customHeight="1" outlineLevel="2" x14ac:dyDescent="0.25">
      <c r="A250" s="8" t="s">
        <v>112</v>
      </c>
      <c r="B250" s="9">
        <v>7938188</v>
      </c>
      <c r="C250" s="9">
        <v>7938188</v>
      </c>
      <c r="D250" s="9">
        <v>7938188</v>
      </c>
      <c r="E250" s="9">
        <v>6171473</v>
      </c>
      <c r="F250" s="16">
        <f t="shared" si="20"/>
        <v>1</v>
      </c>
      <c r="G250" s="16">
        <f t="shared" si="21"/>
        <v>1</v>
      </c>
    </row>
    <row r="251" spans="1:7" ht="24.75" customHeight="1" outlineLevel="3" x14ac:dyDescent="0.25">
      <c r="A251" s="10" t="s">
        <v>37</v>
      </c>
      <c r="B251" s="87">
        <v>7938188</v>
      </c>
      <c r="C251" s="87">
        <v>7938188</v>
      </c>
      <c r="D251" s="87">
        <v>7938188</v>
      </c>
      <c r="E251" s="87">
        <v>6171473</v>
      </c>
      <c r="F251" s="92">
        <f t="shared" si="20"/>
        <v>1</v>
      </c>
      <c r="G251" s="92">
        <f t="shared" si="21"/>
        <v>1</v>
      </c>
    </row>
    <row r="252" spans="1:7" s="78" customFormat="1" ht="28.5" customHeight="1" outlineLevel="2" x14ac:dyDescent="0.25">
      <c r="A252" s="8" t="s">
        <v>28</v>
      </c>
      <c r="B252" s="9">
        <v>23074964</v>
      </c>
      <c r="C252" s="9">
        <v>13875318</v>
      </c>
      <c r="D252" s="9">
        <v>13875318</v>
      </c>
      <c r="E252" s="9">
        <v>13875318</v>
      </c>
      <c r="F252" s="16">
        <f t="shared" si="20"/>
        <v>1</v>
      </c>
      <c r="G252" s="16">
        <f t="shared" si="21"/>
        <v>0.60131482762009947</v>
      </c>
    </row>
    <row r="253" spans="1:7" ht="13.5" customHeight="1" outlineLevel="3" x14ac:dyDescent="0.25">
      <c r="A253" s="10" t="s">
        <v>9</v>
      </c>
      <c r="B253" s="87">
        <v>18913905</v>
      </c>
      <c r="C253" s="87">
        <v>11373211</v>
      </c>
      <c r="D253" s="87">
        <v>11373211</v>
      </c>
      <c r="E253" s="87">
        <v>11373211</v>
      </c>
      <c r="F253" s="92">
        <f t="shared" si="20"/>
        <v>1</v>
      </c>
      <c r="G253" s="92">
        <f t="shared" si="21"/>
        <v>0.60131479987871361</v>
      </c>
    </row>
    <row r="254" spans="1:7" ht="13.5" customHeight="1" outlineLevel="3" x14ac:dyDescent="0.25">
      <c r="A254" s="10" t="s">
        <v>10</v>
      </c>
      <c r="B254" s="87">
        <v>4161059</v>
      </c>
      <c r="C254" s="87">
        <v>2502107</v>
      </c>
      <c r="D254" s="87">
        <v>2502107</v>
      </c>
      <c r="E254" s="87">
        <v>2502107</v>
      </c>
      <c r="F254" s="92">
        <f t="shared" si="20"/>
        <v>1</v>
      </c>
      <c r="G254" s="92">
        <f t="shared" si="21"/>
        <v>0.60131495371731092</v>
      </c>
    </row>
    <row r="255" spans="1:7" s="78" customFormat="1" ht="24.75" customHeight="1" outlineLevel="2" x14ac:dyDescent="0.25">
      <c r="A255" s="8" t="s">
        <v>115</v>
      </c>
      <c r="B255" s="9">
        <v>313938</v>
      </c>
      <c r="C255" s="9">
        <v>313938</v>
      </c>
      <c r="D255" s="9">
        <v>313938</v>
      </c>
      <c r="E255" s="9">
        <v>313938</v>
      </c>
      <c r="F255" s="16">
        <f t="shared" si="20"/>
        <v>1</v>
      </c>
      <c r="G255" s="16">
        <f t="shared" si="21"/>
        <v>1</v>
      </c>
    </row>
    <row r="256" spans="1:7" ht="24.75" customHeight="1" outlineLevel="3" x14ac:dyDescent="0.25">
      <c r="A256" s="10" t="s">
        <v>37</v>
      </c>
      <c r="B256" s="87">
        <v>313938</v>
      </c>
      <c r="C256" s="87">
        <v>313938</v>
      </c>
      <c r="D256" s="87">
        <v>313938</v>
      </c>
      <c r="E256" s="87">
        <v>313938</v>
      </c>
      <c r="F256" s="92">
        <f t="shared" si="20"/>
        <v>1</v>
      </c>
      <c r="G256" s="92">
        <f t="shared" si="21"/>
        <v>1</v>
      </c>
    </row>
    <row r="257" spans="1:7" s="78" customFormat="1" ht="13.5" customHeight="1" outlineLevel="2" x14ac:dyDescent="0.25">
      <c r="A257" s="8" t="s">
        <v>33</v>
      </c>
      <c r="B257" s="9">
        <v>28492178</v>
      </c>
      <c r="C257" s="9">
        <v>17132768</v>
      </c>
      <c r="D257" s="9">
        <v>17132768</v>
      </c>
      <c r="E257" s="9">
        <v>17132768</v>
      </c>
      <c r="F257" s="16">
        <f t="shared" si="20"/>
        <v>1</v>
      </c>
      <c r="G257" s="16">
        <f t="shared" si="21"/>
        <v>0.60131478892206836</v>
      </c>
    </row>
    <row r="258" spans="1:7" ht="13.5" customHeight="1" outlineLevel="3" x14ac:dyDescent="0.25">
      <c r="A258" s="10" t="s">
        <v>9</v>
      </c>
      <c r="B258" s="87">
        <v>23354244</v>
      </c>
      <c r="C258" s="87">
        <v>14043252</v>
      </c>
      <c r="D258" s="87">
        <v>14043252</v>
      </c>
      <c r="E258" s="87">
        <v>14043252</v>
      </c>
      <c r="F258" s="92">
        <f t="shared" si="20"/>
        <v>1</v>
      </c>
      <c r="G258" s="92">
        <f t="shared" si="21"/>
        <v>0.60131477602100925</v>
      </c>
    </row>
    <row r="259" spans="1:7" ht="13.5" customHeight="1" outlineLevel="3" x14ac:dyDescent="0.25">
      <c r="A259" s="10" t="s">
        <v>10</v>
      </c>
      <c r="B259" s="87">
        <v>5137934</v>
      </c>
      <c r="C259" s="87">
        <v>3089516</v>
      </c>
      <c r="D259" s="87">
        <v>3089516</v>
      </c>
      <c r="E259" s="87">
        <v>3089516</v>
      </c>
      <c r="F259" s="92">
        <f t="shared" si="20"/>
        <v>1</v>
      </c>
      <c r="G259" s="92">
        <f t="shared" si="21"/>
        <v>0.60131484756324238</v>
      </c>
    </row>
    <row r="260" spans="1:7" s="78" customFormat="1" ht="13.5" customHeight="1" outlineLevel="2" x14ac:dyDescent="0.25">
      <c r="A260" s="8" t="s">
        <v>30</v>
      </c>
      <c r="B260" s="9">
        <v>26498057</v>
      </c>
      <c r="C260" s="9">
        <v>15933675</v>
      </c>
      <c r="D260" s="9">
        <v>15933675</v>
      </c>
      <c r="E260" s="9">
        <v>15933674.73</v>
      </c>
      <c r="F260" s="16">
        <f t="shared" si="20"/>
        <v>1</v>
      </c>
      <c r="G260" s="16">
        <f t="shared" si="21"/>
        <v>0.60131484357513454</v>
      </c>
    </row>
    <row r="261" spans="1:7" ht="12.75" customHeight="1" outlineLevel="3" x14ac:dyDescent="0.25">
      <c r="A261" s="10" t="s">
        <v>9</v>
      </c>
      <c r="B261" s="87">
        <v>21719719</v>
      </c>
      <c r="C261" s="87">
        <v>13060389</v>
      </c>
      <c r="D261" s="87">
        <v>13060389</v>
      </c>
      <c r="E261" s="87">
        <v>13060388.73</v>
      </c>
      <c r="F261" s="92">
        <f t="shared" si="20"/>
        <v>1</v>
      </c>
      <c r="G261" s="92">
        <f t="shared" si="21"/>
        <v>0.60131482364021371</v>
      </c>
    </row>
    <row r="262" spans="1:7" ht="12.75" customHeight="1" outlineLevel="3" x14ac:dyDescent="0.25">
      <c r="A262" s="10" t="s">
        <v>10</v>
      </c>
      <c r="B262" s="87">
        <v>4778338</v>
      </c>
      <c r="C262" s="87">
        <v>2873286</v>
      </c>
      <c r="D262" s="87">
        <v>2873286</v>
      </c>
      <c r="E262" s="87">
        <v>2873286</v>
      </c>
      <c r="F262" s="92">
        <f t="shared" si="20"/>
        <v>1</v>
      </c>
      <c r="G262" s="92">
        <f t="shared" si="21"/>
        <v>0.60131493418841442</v>
      </c>
    </row>
    <row r="263" spans="1:7" s="78" customFormat="1" ht="12.75" customHeight="1" outlineLevel="2" x14ac:dyDescent="0.25">
      <c r="A263" s="8" t="s">
        <v>35</v>
      </c>
      <c r="B263" s="9">
        <v>17429279</v>
      </c>
      <c r="C263" s="9">
        <v>10480485</v>
      </c>
      <c r="D263" s="9">
        <v>10480485</v>
      </c>
      <c r="E263" s="9">
        <v>10480485</v>
      </c>
      <c r="F263" s="16">
        <f t="shared" si="20"/>
        <v>1</v>
      </c>
      <c r="G263" s="16">
        <f t="shared" si="21"/>
        <v>0.60131489087988088</v>
      </c>
    </row>
    <row r="264" spans="1:7" ht="12.75" customHeight="1" outlineLevel="3" x14ac:dyDescent="0.25">
      <c r="A264" s="10" t="s">
        <v>9</v>
      </c>
      <c r="B264" s="87">
        <v>14286294</v>
      </c>
      <c r="C264" s="87">
        <v>8590561</v>
      </c>
      <c r="D264" s="87">
        <v>8590561</v>
      </c>
      <c r="E264" s="87">
        <v>8590561</v>
      </c>
      <c r="F264" s="92">
        <f t="shared" si="20"/>
        <v>1</v>
      </c>
      <c r="G264" s="92">
        <f t="shared" si="21"/>
        <v>0.60131486864263051</v>
      </c>
    </row>
    <row r="265" spans="1:7" ht="12.75" customHeight="1" outlineLevel="3" x14ac:dyDescent="0.25">
      <c r="A265" s="10" t="s">
        <v>10</v>
      </c>
      <c r="B265" s="87">
        <v>3142985</v>
      </c>
      <c r="C265" s="87">
        <v>1889924</v>
      </c>
      <c r="D265" s="87">
        <v>1889924</v>
      </c>
      <c r="E265" s="87">
        <v>1889924</v>
      </c>
      <c r="F265" s="92">
        <f t="shared" si="20"/>
        <v>1</v>
      </c>
      <c r="G265" s="92">
        <f t="shared" si="21"/>
        <v>0.60131499195828175</v>
      </c>
    </row>
    <row r="266" spans="1:7" s="78" customFormat="1" ht="25.5" customHeight="1" outlineLevel="2" x14ac:dyDescent="0.25">
      <c r="A266" s="8" t="s">
        <v>23</v>
      </c>
      <c r="B266" s="9">
        <v>506273466</v>
      </c>
      <c r="C266" s="9">
        <f>SUM(C267:C269)</f>
        <v>318664693</v>
      </c>
      <c r="D266" s="9">
        <v>318630794</v>
      </c>
      <c r="E266" s="9">
        <v>318630794</v>
      </c>
      <c r="F266" s="16">
        <f t="shared" si="20"/>
        <v>0.99989362172608187</v>
      </c>
      <c r="G266" s="16">
        <f t="shared" si="21"/>
        <v>0.62936498828876009</v>
      </c>
    </row>
    <row r="267" spans="1:7" ht="13.5" customHeight="1" outlineLevel="3" x14ac:dyDescent="0.25">
      <c r="A267" s="10" t="s">
        <v>9</v>
      </c>
      <c r="B267" s="87">
        <v>407951336</v>
      </c>
      <c r="C267" s="87">
        <v>261172784</v>
      </c>
      <c r="D267" s="87">
        <v>261172784</v>
      </c>
      <c r="E267" s="87">
        <v>261172784</v>
      </c>
      <c r="F267" s="92">
        <f t="shared" si="20"/>
        <v>1</v>
      </c>
      <c r="G267" s="92">
        <f t="shared" si="21"/>
        <v>0.64020573277396986</v>
      </c>
    </row>
    <row r="268" spans="1:7" ht="13.5" customHeight="1" outlineLevel="3" x14ac:dyDescent="0.25">
      <c r="A268" s="10" t="s">
        <v>10</v>
      </c>
      <c r="B268" s="87">
        <v>89749293</v>
      </c>
      <c r="C268" s="87">
        <v>57458010</v>
      </c>
      <c r="D268" s="87">
        <v>57458010</v>
      </c>
      <c r="E268" s="87">
        <v>57458010</v>
      </c>
      <c r="F268" s="92">
        <f t="shared" si="20"/>
        <v>1</v>
      </c>
      <c r="G268" s="92">
        <f t="shared" si="21"/>
        <v>0.6402057117040465</v>
      </c>
    </row>
    <row r="269" spans="1:7" ht="27" customHeight="1" outlineLevel="3" x14ac:dyDescent="0.25">
      <c r="A269" s="10" t="s">
        <v>37</v>
      </c>
      <c r="B269" s="87">
        <v>8572837</v>
      </c>
      <c r="C269" s="87">
        <v>33899</v>
      </c>
      <c r="D269" s="89"/>
      <c r="E269" s="89"/>
      <c r="F269" s="92">
        <f t="shared" si="20"/>
        <v>0</v>
      </c>
      <c r="G269" s="92">
        <f t="shared" si="21"/>
        <v>0</v>
      </c>
    </row>
    <row r="270" spans="1:7" s="78" customFormat="1" ht="27" customHeight="1" outlineLevel="2" x14ac:dyDescent="0.25">
      <c r="A270" s="8" t="s">
        <v>113</v>
      </c>
      <c r="B270" s="9">
        <v>1069875</v>
      </c>
      <c r="C270" s="9">
        <v>1069875</v>
      </c>
      <c r="D270" s="9">
        <v>1069875</v>
      </c>
      <c r="E270" s="9">
        <v>1069875</v>
      </c>
      <c r="F270" s="16">
        <f t="shared" si="20"/>
        <v>1</v>
      </c>
      <c r="G270" s="16">
        <f t="shared" si="21"/>
        <v>1</v>
      </c>
    </row>
    <row r="271" spans="1:7" ht="27" customHeight="1" outlineLevel="3" x14ac:dyDescent="0.25">
      <c r="A271" s="10" t="s">
        <v>37</v>
      </c>
      <c r="B271" s="87">
        <v>1069875</v>
      </c>
      <c r="C271" s="87">
        <v>1069875</v>
      </c>
      <c r="D271" s="87">
        <v>1069875</v>
      </c>
      <c r="E271" s="87">
        <v>1069875</v>
      </c>
      <c r="F271" s="92">
        <f t="shared" si="20"/>
        <v>1</v>
      </c>
      <c r="G271" s="92">
        <f t="shared" si="21"/>
        <v>1</v>
      </c>
    </row>
    <row r="272" spans="1:7" s="78" customFormat="1" ht="14.25" customHeight="1" outlineLevel="2" x14ac:dyDescent="0.25">
      <c r="A272" s="8" t="s">
        <v>114</v>
      </c>
      <c r="B272" s="9">
        <v>518750</v>
      </c>
      <c r="C272" s="9">
        <v>518750</v>
      </c>
      <c r="D272" s="9">
        <v>518750</v>
      </c>
      <c r="E272" s="9">
        <v>518750</v>
      </c>
      <c r="F272" s="16">
        <f t="shared" si="20"/>
        <v>1</v>
      </c>
      <c r="G272" s="16">
        <f t="shared" si="21"/>
        <v>1</v>
      </c>
    </row>
    <row r="273" spans="1:7" ht="27" customHeight="1" outlineLevel="3" x14ac:dyDescent="0.25">
      <c r="A273" s="10" t="s">
        <v>37</v>
      </c>
      <c r="B273" s="87">
        <v>518750</v>
      </c>
      <c r="C273" s="87">
        <v>518750</v>
      </c>
      <c r="D273" s="87">
        <v>518750</v>
      </c>
      <c r="E273" s="87">
        <v>518750</v>
      </c>
      <c r="F273" s="92">
        <f t="shared" si="20"/>
        <v>1</v>
      </c>
      <c r="G273" s="92">
        <f t="shared" si="21"/>
        <v>1</v>
      </c>
    </row>
    <row r="274" spans="1:7" s="78" customFormat="1" ht="15.75" customHeight="1" outlineLevel="2" x14ac:dyDescent="0.25">
      <c r="A274" s="8" t="s">
        <v>134</v>
      </c>
      <c r="B274" s="9">
        <v>1409100</v>
      </c>
      <c r="C274" s="9">
        <v>1409051</v>
      </c>
      <c r="D274" s="9">
        <v>1409051</v>
      </c>
      <c r="E274" s="9">
        <v>1409051</v>
      </c>
      <c r="F274" s="16">
        <f t="shared" si="20"/>
        <v>1</v>
      </c>
      <c r="G274" s="16">
        <f t="shared" si="21"/>
        <v>0.99996522603079985</v>
      </c>
    </row>
    <row r="275" spans="1:7" ht="27" customHeight="1" outlineLevel="3" x14ac:dyDescent="0.25">
      <c r="A275" s="10" t="s">
        <v>37</v>
      </c>
      <c r="B275" s="87">
        <v>1409100</v>
      </c>
      <c r="C275" s="87">
        <v>1409051</v>
      </c>
      <c r="D275" s="87">
        <v>1409051</v>
      </c>
      <c r="E275" s="87">
        <v>1409051</v>
      </c>
      <c r="F275" s="92">
        <f t="shared" si="20"/>
        <v>1</v>
      </c>
      <c r="G275" s="92">
        <f t="shared" si="21"/>
        <v>0.99996522603079985</v>
      </c>
    </row>
    <row r="276" spans="1:7" ht="51" customHeight="1" outlineLevel="1" x14ac:dyDescent="0.25">
      <c r="A276" s="28" t="s">
        <v>70</v>
      </c>
      <c r="B276" s="93">
        <v>33481509</v>
      </c>
      <c r="C276" s="93">
        <v>21225434</v>
      </c>
      <c r="D276" s="93">
        <v>21225434</v>
      </c>
      <c r="E276" s="93">
        <v>21225434</v>
      </c>
      <c r="F276" s="94">
        <f t="shared" si="20"/>
        <v>1</v>
      </c>
      <c r="G276" s="94">
        <f t="shared" si="21"/>
        <v>0.63394496347222584</v>
      </c>
    </row>
    <row r="277" spans="1:7" s="78" customFormat="1" ht="24.75" customHeight="1" outlineLevel="2" x14ac:dyDescent="0.25">
      <c r="A277" s="8" t="s">
        <v>23</v>
      </c>
      <c r="B277" s="9">
        <v>33481509</v>
      </c>
      <c r="C277" s="9">
        <v>21225434</v>
      </c>
      <c r="D277" s="9">
        <v>21225434</v>
      </c>
      <c r="E277" s="9">
        <v>21225434</v>
      </c>
      <c r="F277" s="16">
        <f t="shared" si="20"/>
        <v>1</v>
      </c>
      <c r="G277" s="16">
        <f t="shared" si="21"/>
        <v>0.63394496347222584</v>
      </c>
    </row>
    <row r="278" spans="1:7" ht="13.5" customHeight="1" outlineLevel="3" x14ac:dyDescent="0.25">
      <c r="A278" s="10" t="s">
        <v>9</v>
      </c>
      <c r="B278" s="87">
        <v>27443860</v>
      </c>
      <c r="C278" s="87">
        <v>17397897</v>
      </c>
      <c r="D278" s="87">
        <v>17397897</v>
      </c>
      <c r="E278" s="87">
        <v>17397897</v>
      </c>
      <c r="F278" s="92">
        <f t="shared" si="20"/>
        <v>1</v>
      </c>
      <c r="G278" s="92">
        <f t="shared" si="21"/>
        <v>0.6339449698402484</v>
      </c>
    </row>
    <row r="279" spans="1:7" ht="13.5" customHeight="1" outlineLevel="3" x14ac:dyDescent="0.25">
      <c r="A279" s="10" t="s">
        <v>10</v>
      </c>
      <c r="B279" s="87">
        <v>6037649</v>
      </c>
      <c r="C279" s="87">
        <v>3827537</v>
      </c>
      <c r="D279" s="87">
        <v>3827537</v>
      </c>
      <c r="E279" s="87">
        <v>3827537</v>
      </c>
      <c r="F279" s="92">
        <f t="shared" si="20"/>
        <v>1</v>
      </c>
      <c r="G279" s="92">
        <f t="shared" si="21"/>
        <v>0.63394493452666756</v>
      </c>
    </row>
    <row r="280" spans="1:7" ht="39" customHeight="1" outlineLevel="1" x14ac:dyDescent="0.25">
      <c r="A280" s="28" t="s">
        <v>71</v>
      </c>
      <c r="B280" s="93">
        <v>17087832</v>
      </c>
      <c r="C280" s="93">
        <v>10832745</v>
      </c>
      <c r="D280" s="93">
        <v>10832745</v>
      </c>
      <c r="E280" s="93">
        <v>10832745</v>
      </c>
      <c r="F280" s="94">
        <f t="shared" si="20"/>
        <v>1</v>
      </c>
      <c r="G280" s="94">
        <f t="shared" si="21"/>
        <v>0.63394496153754321</v>
      </c>
    </row>
    <row r="281" spans="1:7" s="78" customFormat="1" ht="24" outlineLevel="2" x14ac:dyDescent="0.25">
      <c r="A281" s="8" t="s">
        <v>23</v>
      </c>
      <c r="B281" s="9">
        <v>10746245</v>
      </c>
      <c r="C281" s="9">
        <v>6812714</v>
      </c>
      <c r="D281" s="9">
        <v>6812714</v>
      </c>
      <c r="E281" s="9">
        <v>6812714</v>
      </c>
      <c r="F281" s="16">
        <f t="shared" si="20"/>
        <v>1</v>
      </c>
      <c r="G281" s="16">
        <f t="shared" si="21"/>
        <v>0.633962281708634</v>
      </c>
    </row>
    <row r="282" spans="1:7" ht="12.75" customHeight="1" outlineLevel="3" x14ac:dyDescent="0.25">
      <c r="A282" s="10" t="s">
        <v>9</v>
      </c>
      <c r="B282" s="87">
        <v>8808397</v>
      </c>
      <c r="C282" s="87">
        <v>5584190</v>
      </c>
      <c r="D282" s="87">
        <v>5584190</v>
      </c>
      <c r="E282" s="87">
        <v>5584190</v>
      </c>
      <c r="F282" s="92">
        <f t="shared" si="20"/>
        <v>1</v>
      </c>
      <c r="G282" s="92">
        <f t="shared" si="21"/>
        <v>0.63396211592188678</v>
      </c>
    </row>
    <row r="283" spans="1:7" ht="12.75" customHeight="1" outlineLevel="3" x14ac:dyDescent="0.25">
      <c r="A283" s="10" t="s">
        <v>10</v>
      </c>
      <c r="B283" s="87">
        <v>1937848</v>
      </c>
      <c r="C283" s="87">
        <v>1228524</v>
      </c>
      <c r="D283" s="87">
        <v>1228524</v>
      </c>
      <c r="E283" s="87">
        <v>1228524</v>
      </c>
      <c r="F283" s="92">
        <f t="shared" si="20"/>
        <v>1</v>
      </c>
      <c r="G283" s="92">
        <f t="shared" si="21"/>
        <v>0.63396303528450115</v>
      </c>
    </row>
    <row r="284" spans="1:7" s="78" customFormat="1" ht="15" customHeight="1" outlineLevel="2" x14ac:dyDescent="0.25">
      <c r="A284" s="8" t="s">
        <v>36</v>
      </c>
      <c r="B284" s="9">
        <v>6341587</v>
      </c>
      <c r="C284" s="9">
        <v>4020031</v>
      </c>
      <c r="D284" s="9">
        <v>4020031</v>
      </c>
      <c r="E284" s="9">
        <v>4020031</v>
      </c>
      <c r="F284" s="16">
        <f t="shared" si="20"/>
        <v>1</v>
      </c>
      <c r="G284" s="16">
        <f t="shared" si="21"/>
        <v>0.63391561134460506</v>
      </c>
    </row>
    <row r="285" spans="1:7" ht="15" customHeight="1" outlineLevel="3" x14ac:dyDescent="0.25">
      <c r="A285" s="10" t="s">
        <v>9</v>
      </c>
      <c r="B285" s="87">
        <v>5198023</v>
      </c>
      <c r="C285" s="87">
        <v>3295108</v>
      </c>
      <c r="D285" s="87">
        <v>3295108</v>
      </c>
      <c r="E285" s="87">
        <v>3295108</v>
      </c>
      <c r="F285" s="92">
        <f t="shared" si="20"/>
        <v>1</v>
      </c>
      <c r="G285" s="92">
        <f t="shared" si="21"/>
        <v>0.63391562522905343</v>
      </c>
    </row>
    <row r="286" spans="1:7" ht="15" customHeight="1" outlineLevel="3" x14ac:dyDescent="0.25">
      <c r="A286" s="10" t="s">
        <v>10</v>
      </c>
      <c r="B286" s="87">
        <v>1143564</v>
      </c>
      <c r="C286" s="87">
        <v>724923</v>
      </c>
      <c r="D286" s="87">
        <v>724923</v>
      </c>
      <c r="E286" s="87">
        <v>724923</v>
      </c>
      <c r="F286" s="92">
        <f t="shared" si="20"/>
        <v>1</v>
      </c>
      <c r="G286" s="92">
        <f t="shared" si="21"/>
        <v>0.63391554823341767</v>
      </c>
    </row>
    <row r="287" spans="1:7" ht="27" customHeight="1" outlineLevel="1" x14ac:dyDescent="0.25">
      <c r="A287" s="28" t="s">
        <v>72</v>
      </c>
      <c r="B287" s="93">
        <f>B288+B291+B301+B304+B314</f>
        <v>124761433</v>
      </c>
      <c r="C287" s="93">
        <f t="shared" ref="C287:E287" si="22">C288+C291+C301+C304+C314</f>
        <v>51709164</v>
      </c>
      <c r="D287" s="93">
        <f t="shared" si="22"/>
        <v>42074106.469999999</v>
      </c>
      <c r="E287" s="93">
        <f t="shared" si="22"/>
        <v>42074106.469999999</v>
      </c>
      <c r="F287" s="94">
        <f t="shared" si="20"/>
        <v>0.81366827879870574</v>
      </c>
      <c r="G287" s="94">
        <f t="shared" si="21"/>
        <v>0.33723647972206283</v>
      </c>
    </row>
    <row r="288" spans="1:7" s="78" customFormat="1" ht="26.25" customHeight="1" outlineLevel="2" x14ac:dyDescent="0.25">
      <c r="A288" s="8" t="s">
        <v>28</v>
      </c>
      <c r="B288" s="9">
        <v>7002312</v>
      </c>
      <c r="C288" s="9">
        <v>2867000</v>
      </c>
      <c r="D288" s="9">
        <v>2860698.49</v>
      </c>
      <c r="E288" s="9">
        <v>2860698.49</v>
      </c>
      <c r="F288" s="16">
        <f t="shared" si="20"/>
        <v>0.99780205441227776</v>
      </c>
      <c r="G288" s="16">
        <f t="shared" si="21"/>
        <v>0.40853627916036878</v>
      </c>
    </row>
    <row r="289" spans="1:7" ht="13.5" customHeight="1" outlineLevel="3" x14ac:dyDescent="0.25">
      <c r="A289" s="10" t="s">
        <v>9</v>
      </c>
      <c r="B289" s="87">
        <v>5739600</v>
      </c>
      <c r="C289" s="87">
        <v>2350000</v>
      </c>
      <c r="D289" s="87">
        <v>2350000</v>
      </c>
      <c r="E289" s="87">
        <v>2350000</v>
      </c>
      <c r="F289" s="92">
        <f t="shared" si="20"/>
        <v>1</v>
      </c>
      <c r="G289" s="92">
        <f t="shared" si="21"/>
        <v>0.40943619764443517</v>
      </c>
    </row>
    <row r="290" spans="1:7" ht="13.5" customHeight="1" outlineLevel="3" x14ac:dyDescent="0.25">
      <c r="A290" s="10" t="s">
        <v>10</v>
      </c>
      <c r="B290" s="87">
        <v>1262712</v>
      </c>
      <c r="C290" s="87">
        <v>517000</v>
      </c>
      <c r="D290" s="87">
        <v>510698.49</v>
      </c>
      <c r="E290" s="87">
        <v>510698.49</v>
      </c>
      <c r="F290" s="92">
        <f t="shared" si="20"/>
        <v>0.98781139264990325</v>
      </c>
      <c r="G290" s="92">
        <f t="shared" si="21"/>
        <v>0.40444574059643051</v>
      </c>
    </row>
    <row r="291" spans="1:7" s="78" customFormat="1" ht="12" customHeight="1" outlineLevel="2" x14ac:dyDescent="0.25">
      <c r="A291" s="8" t="s">
        <v>38</v>
      </c>
      <c r="B291" s="9">
        <v>19898733</v>
      </c>
      <c r="C291" s="9">
        <v>8530630</v>
      </c>
      <c r="D291" s="9">
        <v>6671912.5300000003</v>
      </c>
      <c r="E291" s="9">
        <v>6671912.5300000003</v>
      </c>
      <c r="F291" s="16">
        <f t="shared" si="20"/>
        <v>0.78211252041173984</v>
      </c>
      <c r="G291" s="16">
        <f t="shared" si="21"/>
        <v>0.33529333400272271</v>
      </c>
    </row>
    <row r="292" spans="1:7" ht="14.25" customHeight="1" outlineLevel="3" x14ac:dyDescent="0.25">
      <c r="A292" s="10" t="s">
        <v>9</v>
      </c>
      <c r="B292" s="87">
        <v>11768700</v>
      </c>
      <c r="C292" s="87">
        <v>4501830</v>
      </c>
      <c r="D292" s="87">
        <v>4501668.08</v>
      </c>
      <c r="E292" s="87">
        <v>4501668.08</v>
      </c>
      <c r="F292" s="92">
        <f t="shared" si="20"/>
        <v>0.99996403240459997</v>
      </c>
      <c r="G292" s="92">
        <f t="shared" si="21"/>
        <v>0.3825119240018014</v>
      </c>
    </row>
    <row r="293" spans="1:7" ht="14.25" customHeight="1" outlineLevel="3" x14ac:dyDescent="0.25">
      <c r="A293" s="10" t="s">
        <v>10</v>
      </c>
      <c r="B293" s="87">
        <v>2589114</v>
      </c>
      <c r="C293" s="87">
        <v>990403</v>
      </c>
      <c r="D293" s="87">
        <v>990403</v>
      </c>
      <c r="E293" s="87">
        <v>990403</v>
      </c>
      <c r="F293" s="92">
        <f t="shared" si="20"/>
        <v>1</v>
      </c>
      <c r="G293" s="92">
        <f t="shared" si="21"/>
        <v>0.38252583702378495</v>
      </c>
    </row>
    <row r="294" spans="1:7" ht="14.25" customHeight="1" outlineLevel="3" x14ac:dyDescent="0.25">
      <c r="A294" s="10" t="s">
        <v>11</v>
      </c>
      <c r="B294" s="87">
        <v>974280</v>
      </c>
      <c r="C294" s="87">
        <v>500000</v>
      </c>
      <c r="D294" s="87">
        <v>143286.9</v>
      </c>
      <c r="E294" s="87">
        <v>143286.9</v>
      </c>
      <c r="F294" s="92">
        <f t="shared" si="20"/>
        <v>0.28657379999999999</v>
      </c>
      <c r="G294" s="92">
        <f t="shared" si="21"/>
        <v>0.14706952826702796</v>
      </c>
    </row>
    <row r="295" spans="1:7" ht="14.25" customHeight="1" outlineLevel="3" x14ac:dyDescent="0.25">
      <c r="A295" s="10" t="s">
        <v>12</v>
      </c>
      <c r="B295" s="87">
        <v>2605000</v>
      </c>
      <c r="C295" s="87">
        <v>1575000</v>
      </c>
      <c r="D295" s="87">
        <v>333897.32</v>
      </c>
      <c r="E295" s="87">
        <v>333897.32</v>
      </c>
      <c r="F295" s="92">
        <f t="shared" si="20"/>
        <v>0.2119982984126984</v>
      </c>
      <c r="G295" s="92">
        <f t="shared" si="21"/>
        <v>0.1281755547024952</v>
      </c>
    </row>
    <row r="296" spans="1:7" ht="14.25" customHeight="1" outlineLevel="3" x14ac:dyDescent="0.25">
      <c r="A296" s="10" t="s">
        <v>13</v>
      </c>
      <c r="B296" s="87">
        <v>1250683</v>
      </c>
      <c r="C296" s="87">
        <v>787181</v>
      </c>
      <c r="D296" s="87">
        <v>560116.06000000006</v>
      </c>
      <c r="E296" s="87">
        <v>560116.06000000006</v>
      </c>
      <c r="F296" s="92">
        <f t="shared" si="20"/>
        <v>0.71154672178317324</v>
      </c>
      <c r="G296" s="92">
        <f t="shared" si="21"/>
        <v>0.44784814377424181</v>
      </c>
    </row>
    <row r="297" spans="1:7" ht="14.25" customHeight="1" outlineLevel="3" x14ac:dyDescent="0.25">
      <c r="A297" s="10" t="s">
        <v>14</v>
      </c>
      <c r="B297" s="87">
        <v>63983</v>
      </c>
      <c r="C297" s="87">
        <v>32100</v>
      </c>
      <c r="D297" s="87">
        <v>31318.04</v>
      </c>
      <c r="E297" s="87">
        <v>31318.04</v>
      </c>
      <c r="F297" s="92">
        <f t="shared" si="20"/>
        <v>0.97563987538940811</v>
      </c>
      <c r="G297" s="92">
        <f t="shared" si="21"/>
        <v>0.48947439163527812</v>
      </c>
    </row>
    <row r="298" spans="1:7" ht="14.25" customHeight="1" outlineLevel="3" x14ac:dyDescent="0.25">
      <c r="A298" s="10" t="s">
        <v>15</v>
      </c>
      <c r="B298" s="87">
        <v>613973</v>
      </c>
      <c r="C298" s="87">
        <v>128616</v>
      </c>
      <c r="D298" s="87">
        <v>101944.05</v>
      </c>
      <c r="E298" s="87">
        <v>101944.05</v>
      </c>
      <c r="F298" s="92">
        <f t="shared" si="20"/>
        <v>0.79262339055793996</v>
      </c>
      <c r="G298" s="92">
        <f t="shared" si="21"/>
        <v>0.16603995615442374</v>
      </c>
    </row>
    <row r="299" spans="1:7" ht="14.25" customHeight="1" outlineLevel="3" x14ac:dyDescent="0.25">
      <c r="A299" s="10" t="s">
        <v>26</v>
      </c>
      <c r="B299" s="87">
        <v>30000</v>
      </c>
      <c r="C299" s="87">
        <v>12500</v>
      </c>
      <c r="D299" s="87">
        <v>9279.08</v>
      </c>
      <c r="E299" s="87">
        <v>9279.08</v>
      </c>
      <c r="F299" s="92">
        <f t="shared" si="20"/>
        <v>0.74232639999999994</v>
      </c>
      <c r="G299" s="92">
        <f t="shared" si="21"/>
        <v>0.30930266666666667</v>
      </c>
    </row>
    <row r="300" spans="1:7" ht="26.25" customHeight="1" outlineLevel="3" x14ac:dyDescent="0.25">
      <c r="A300" s="10" t="s">
        <v>16</v>
      </c>
      <c r="B300" s="87">
        <v>3000</v>
      </c>
      <c r="C300" s="87">
        <v>3000</v>
      </c>
      <c r="D300" s="89"/>
      <c r="E300" s="89"/>
      <c r="F300" s="92">
        <f t="shared" si="20"/>
        <v>0</v>
      </c>
      <c r="G300" s="92">
        <f t="shared" si="21"/>
        <v>0</v>
      </c>
    </row>
    <row r="301" spans="1:7" s="78" customFormat="1" ht="12" customHeight="1" outlineLevel="2" x14ac:dyDescent="0.25">
      <c r="A301" s="8" t="s">
        <v>30</v>
      </c>
      <c r="B301" s="9">
        <v>7281692</v>
      </c>
      <c r="C301" s="9">
        <v>2806000</v>
      </c>
      <c r="D301" s="9">
        <v>2800675.82</v>
      </c>
      <c r="E301" s="9">
        <v>2800675.82</v>
      </c>
      <c r="F301" s="16">
        <f t="shared" si="20"/>
        <v>0.99810257305773342</v>
      </c>
      <c r="G301" s="16">
        <f t="shared" si="21"/>
        <v>0.38461882485554177</v>
      </c>
    </row>
    <row r="302" spans="1:7" ht="12" customHeight="1" outlineLevel="3" x14ac:dyDescent="0.25">
      <c r="A302" s="10" t="s">
        <v>9</v>
      </c>
      <c r="B302" s="87">
        <v>5968600</v>
      </c>
      <c r="C302" s="87">
        <v>2300000</v>
      </c>
      <c r="D302" s="87">
        <v>2299604.14</v>
      </c>
      <c r="E302" s="87">
        <v>2299604.14</v>
      </c>
      <c r="F302" s="92">
        <f t="shared" si="20"/>
        <v>0.99982788695652181</v>
      </c>
      <c r="G302" s="92">
        <f t="shared" si="21"/>
        <v>0.38528367456354928</v>
      </c>
    </row>
    <row r="303" spans="1:7" ht="12" customHeight="1" outlineLevel="3" x14ac:dyDescent="0.25">
      <c r="A303" s="10" t="s">
        <v>10</v>
      </c>
      <c r="B303" s="87">
        <v>1313092</v>
      </c>
      <c r="C303" s="87">
        <v>506000</v>
      </c>
      <c r="D303" s="87">
        <v>501071.68</v>
      </c>
      <c r="E303" s="87">
        <v>501071.68</v>
      </c>
      <c r="F303" s="92">
        <f t="shared" si="20"/>
        <v>0.99026023715415024</v>
      </c>
      <c r="G303" s="92">
        <f t="shared" si="21"/>
        <v>0.38159678072823533</v>
      </c>
    </row>
    <row r="304" spans="1:7" s="78" customFormat="1" ht="24" outlineLevel="2" x14ac:dyDescent="0.25">
      <c r="A304" s="8" t="s">
        <v>23</v>
      </c>
      <c r="B304" s="9">
        <v>47520127</v>
      </c>
      <c r="C304" s="9">
        <f>SUM(C305:C313)</f>
        <v>17386168</v>
      </c>
      <c r="D304" s="9">
        <v>14971143.119999999</v>
      </c>
      <c r="E304" s="9">
        <v>14971143.119999999</v>
      </c>
      <c r="F304" s="16">
        <f t="shared" ref="F304:F354" si="23">D304/C304</f>
        <v>0.8610950452106525</v>
      </c>
      <c r="G304" s="16">
        <f t="shared" ref="G304:G354" si="24">D304/B304</f>
        <v>0.31504846609521897</v>
      </c>
    </row>
    <row r="305" spans="1:7" ht="13.5" customHeight="1" outlineLevel="3" x14ac:dyDescent="0.25">
      <c r="A305" s="10" t="s">
        <v>9</v>
      </c>
      <c r="B305" s="87">
        <v>28943677</v>
      </c>
      <c r="C305" s="87">
        <f>31826530-C302-C292-C289-C315</f>
        <v>10844700</v>
      </c>
      <c r="D305" s="87">
        <v>10820255.720000001</v>
      </c>
      <c r="E305" s="87">
        <v>10820255.720000001</v>
      </c>
      <c r="F305" s="92">
        <f t="shared" si="23"/>
        <v>0.9977459699207909</v>
      </c>
      <c r="G305" s="92">
        <f t="shared" si="24"/>
        <v>0.37383832468832484</v>
      </c>
    </row>
    <row r="306" spans="1:7" ht="13.5" customHeight="1" outlineLevel="3" x14ac:dyDescent="0.25">
      <c r="A306" s="10" t="s">
        <v>10</v>
      </c>
      <c r="B306" s="87">
        <v>6367609</v>
      </c>
      <c r="C306" s="87">
        <f>7001837-C303-C293-C290-C316</f>
        <v>2385834</v>
      </c>
      <c r="D306" s="87">
        <v>2385834</v>
      </c>
      <c r="E306" s="87">
        <v>2385834</v>
      </c>
      <c r="F306" s="92">
        <f t="shared" si="23"/>
        <v>1</v>
      </c>
      <c r="G306" s="92">
        <f t="shared" si="24"/>
        <v>0.37468286761954134</v>
      </c>
    </row>
    <row r="307" spans="1:7" ht="13.5" customHeight="1" outlineLevel="3" x14ac:dyDescent="0.25">
      <c r="A307" s="10" t="s">
        <v>11</v>
      </c>
      <c r="B307" s="87">
        <v>4001720</v>
      </c>
      <c r="C307" s="87">
        <f>3850000-C294-C317</f>
        <v>1350000</v>
      </c>
      <c r="D307" s="87">
        <v>159558.74</v>
      </c>
      <c r="E307" s="87">
        <v>159558.74</v>
      </c>
      <c r="F307" s="92">
        <f t="shared" si="23"/>
        <v>0.11819165925925926</v>
      </c>
      <c r="G307" s="92">
        <f t="shared" si="24"/>
        <v>3.9872539807882607E-2</v>
      </c>
    </row>
    <row r="308" spans="1:7" ht="13.5" customHeight="1" outlineLevel="3" x14ac:dyDescent="0.25">
      <c r="A308" s="10" t="s">
        <v>12</v>
      </c>
      <c r="B308" s="87">
        <v>4795000</v>
      </c>
      <c r="C308" s="87">
        <f>5670000-C295-C318</f>
        <v>845000</v>
      </c>
      <c r="D308" s="87">
        <v>191494.25</v>
      </c>
      <c r="E308" s="87">
        <v>191494.25</v>
      </c>
      <c r="F308" s="92">
        <f t="shared" si="23"/>
        <v>0.22662041420118342</v>
      </c>
      <c r="G308" s="92">
        <f t="shared" si="24"/>
        <v>3.9936235662148073E-2</v>
      </c>
    </row>
    <row r="309" spans="1:7" ht="13.5" customHeight="1" outlineLevel="3" x14ac:dyDescent="0.25">
      <c r="A309" s="10" t="s">
        <v>13</v>
      </c>
      <c r="B309" s="87">
        <v>2761908</v>
      </c>
      <c r="C309" s="87">
        <f>2415683-C296-C319</f>
        <v>1471998</v>
      </c>
      <c r="D309" s="87">
        <v>996923.76</v>
      </c>
      <c r="E309" s="87">
        <v>996923.76</v>
      </c>
      <c r="F309" s="92">
        <f t="shared" si="23"/>
        <v>0.67725890931917032</v>
      </c>
      <c r="G309" s="92">
        <f t="shared" si="24"/>
        <v>0.36095473129445299</v>
      </c>
    </row>
    <row r="310" spans="1:7" ht="13.5" customHeight="1" outlineLevel="3" x14ac:dyDescent="0.25">
      <c r="A310" s="10" t="s">
        <v>14</v>
      </c>
      <c r="B310" s="87">
        <v>105910</v>
      </c>
      <c r="C310" s="87">
        <f>130464-C297-C320</f>
        <v>71712</v>
      </c>
      <c r="D310" s="87">
        <v>41649.08</v>
      </c>
      <c r="E310" s="87">
        <v>41649.08</v>
      </c>
      <c r="F310" s="92">
        <f t="shared" si="23"/>
        <v>0.5807825747434181</v>
      </c>
      <c r="G310" s="92">
        <f t="shared" si="24"/>
        <v>0.39324974034557647</v>
      </c>
    </row>
    <row r="311" spans="1:7" ht="13.5" customHeight="1" outlineLevel="3" x14ac:dyDescent="0.25">
      <c r="A311" s="10" t="s">
        <v>15</v>
      </c>
      <c r="B311" s="87">
        <v>463360</v>
      </c>
      <c r="C311" s="87">
        <f>742216-C298-C321</f>
        <v>373850</v>
      </c>
      <c r="D311" s="87">
        <v>368791.05</v>
      </c>
      <c r="E311" s="87">
        <v>368791.05</v>
      </c>
      <c r="F311" s="92">
        <f t="shared" si="23"/>
        <v>0.98646796843653872</v>
      </c>
      <c r="G311" s="92">
        <f t="shared" si="24"/>
        <v>0.79590609892955799</v>
      </c>
    </row>
    <row r="312" spans="1:7" ht="13.5" customHeight="1" outlineLevel="3" x14ac:dyDescent="0.25">
      <c r="A312" s="10" t="s">
        <v>26</v>
      </c>
      <c r="B312" s="87">
        <v>68943</v>
      </c>
      <c r="C312" s="87">
        <f>54434-C299-C322</f>
        <v>31074</v>
      </c>
      <c r="D312" s="87">
        <v>6636.52</v>
      </c>
      <c r="E312" s="87">
        <v>6636.52</v>
      </c>
      <c r="F312" s="92">
        <f t="shared" si="23"/>
        <v>0.2135714745446354</v>
      </c>
      <c r="G312" s="92">
        <f t="shared" si="24"/>
        <v>9.6260969206445918E-2</v>
      </c>
    </row>
    <row r="313" spans="1:7" ht="27.75" customHeight="1" outlineLevel="3" x14ac:dyDescent="0.25">
      <c r="A313" s="10" t="s">
        <v>16</v>
      </c>
      <c r="B313" s="87">
        <v>12000</v>
      </c>
      <c r="C313" s="87">
        <f>18000-C300-C323</f>
        <v>12000</v>
      </c>
      <c r="D313" s="89"/>
      <c r="E313" s="89"/>
      <c r="F313" s="92">
        <f t="shared" si="23"/>
        <v>0</v>
      </c>
      <c r="G313" s="92">
        <f t="shared" si="24"/>
        <v>0</v>
      </c>
    </row>
    <row r="314" spans="1:7" s="78" customFormat="1" ht="15.75" customHeight="1" outlineLevel="2" x14ac:dyDescent="0.25">
      <c r="A314" s="8" t="s">
        <v>36</v>
      </c>
      <c r="B314" s="9">
        <v>43058569</v>
      </c>
      <c r="C314" s="9">
        <v>20119366</v>
      </c>
      <c r="D314" s="9">
        <v>14769676.51</v>
      </c>
      <c r="E314" s="9">
        <v>14769676.51</v>
      </c>
      <c r="F314" s="16">
        <f t="shared" si="23"/>
        <v>0.73410248165871628</v>
      </c>
      <c r="G314" s="16">
        <f t="shared" si="24"/>
        <v>0.34301364056014028</v>
      </c>
    </row>
    <row r="315" spans="1:7" ht="12.75" customHeight="1" outlineLevel="3" x14ac:dyDescent="0.25">
      <c r="A315" s="10" t="s">
        <v>9</v>
      </c>
      <c r="B315" s="87">
        <v>29997100</v>
      </c>
      <c r="C315" s="87">
        <v>11830000</v>
      </c>
      <c r="D315" s="87">
        <v>11599487.23</v>
      </c>
      <c r="E315" s="87">
        <v>11599487.23</v>
      </c>
      <c r="F315" s="92">
        <f t="shared" si="23"/>
        <v>0.98051455874894344</v>
      </c>
      <c r="G315" s="92">
        <f t="shared" si="24"/>
        <v>0.38668695407222697</v>
      </c>
    </row>
    <row r="316" spans="1:7" ht="12.75" customHeight="1" outlineLevel="3" x14ac:dyDescent="0.25">
      <c r="A316" s="10" t="s">
        <v>10</v>
      </c>
      <c r="B316" s="87">
        <v>6599362</v>
      </c>
      <c r="C316" s="87">
        <v>2602600</v>
      </c>
      <c r="D316" s="87">
        <v>2542817.9900000002</v>
      </c>
      <c r="E316" s="87">
        <v>2542817.9900000002</v>
      </c>
      <c r="F316" s="92">
        <f t="shared" si="23"/>
        <v>0.97702988934142787</v>
      </c>
      <c r="G316" s="92">
        <f t="shared" si="24"/>
        <v>0.38531269992462913</v>
      </c>
    </row>
    <row r="317" spans="1:7" ht="12.75" customHeight="1" outlineLevel="3" x14ac:dyDescent="0.25">
      <c r="A317" s="10" t="s">
        <v>11</v>
      </c>
      <c r="B317" s="87">
        <v>2000000</v>
      </c>
      <c r="C317" s="87">
        <v>2000000</v>
      </c>
      <c r="D317" s="87">
        <v>260159.6</v>
      </c>
      <c r="E317" s="87">
        <v>260159.6</v>
      </c>
      <c r="F317" s="92">
        <f t="shared" si="23"/>
        <v>0.1300798</v>
      </c>
      <c r="G317" s="92">
        <f t="shared" si="24"/>
        <v>0.1300798</v>
      </c>
    </row>
    <row r="318" spans="1:7" ht="12.75" customHeight="1" outlineLevel="3" x14ac:dyDescent="0.25">
      <c r="A318" s="10" t="s">
        <v>12</v>
      </c>
      <c r="B318" s="87">
        <v>3600000</v>
      </c>
      <c r="C318" s="87">
        <v>3250000</v>
      </c>
      <c r="D318" s="87">
        <v>35143.5</v>
      </c>
      <c r="E318" s="87">
        <v>35143.5</v>
      </c>
      <c r="F318" s="92">
        <f t="shared" si="23"/>
        <v>1.0813384615384615E-2</v>
      </c>
      <c r="G318" s="92">
        <f t="shared" si="24"/>
        <v>9.7620833333333327E-3</v>
      </c>
    </row>
    <row r="319" spans="1:7" ht="12.75" customHeight="1" outlineLevel="3" x14ac:dyDescent="0.25">
      <c r="A319" s="10" t="s">
        <v>13</v>
      </c>
      <c r="B319" s="87">
        <v>364729</v>
      </c>
      <c r="C319" s="87">
        <v>156504</v>
      </c>
      <c r="D319" s="87">
        <v>68070.03</v>
      </c>
      <c r="E319" s="87">
        <v>68070.03</v>
      </c>
      <c r="F319" s="92">
        <f t="shared" si="23"/>
        <v>0.43494115166385522</v>
      </c>
      <c r="G319" s="92">
        <f t="shared" si="24"/>
        <v>0.1866318005971557</v>
      </c>
    </row>
    <row r="320" spans="1:7" ht="12.75" customHeight="1" outlineLevel="3" x14ac:dyDescent="0.25">
      <c r="A320" s="10" t="s">
        <v>14</v>
      </c>
      <c r="B320" s="87">
        <v>64483</v>
      </c>
      <c r="C320" s="87">
        <v>26652</v>
      </c>
      <c r="D320" s="87">
        <v>26490.75</v>
      </c>
      <c r="E320" s="87">
        <v>26490.75</v>
      </c>
      <c r="F320" s="92">
        <f t="shared" si="23"/>
        <v>0.9939497973885637</v>
      </c>
      <c r="G320" s="92">
        <f t="shared" si="24"/>
        <v>0.41081757982724126</v>
      </c>
    </row>
    <row r="321" spans="1:7" ht="12.75" customHeight="1" outlineLevel="3" x14ac:dyDescent="0.25">
      <c r="A321" s="10" t="s">
        <v>15</v>
      </c>
      <c r="B321" s="87">
        <v>403830</v>
      </c>
      <c r="C321" s="87">
        <v>239750</v>
      </c>
      <c r="D321" s="87">
        <v>230548.17</v>
      </c>
      <c r="E321" s="87">
        <v>230548.17</v>
      </c>
      <c r="F321" s="92">
        <f t="shared" si="23"/>
        <v>0.96161906152241927</v>
      </c>
      <c r="G321" s="92">
        <f t="shared" si="24"/>
        <v>0.57090401901790355</v>
      </c>
    </row>
    <row r="322" spans="1:7" ht="12.75" customHeight="1" outlineLevel="3" x14ac:dyDescent="0.25">
      <c r="A322" s="10" t="s">
        <v>26</v>
      </c>
      <c r="B322" s="87">
        <v>26065</v>
      </c>
      <c r="C322" s="87">
        <v>10860</v>
      </c>
      <c r="D322" s="87">
        <v>6959.24</v>
      </c>
      <c r="E322" s="87">
        <v>6959.24</v>
      </c>
      <c r="F322" s="92">
        <f t="shared" si="23"/>
        <v>0.64081399631675873</v>
      </c>
      <c r="G322" s="92">
        <f t="shared" si="24"/>
        <v>0.26699558795319395</v>
      </c>
    </row>
    <row r="323" spans="1:7" ht="26.25" customHeight="1" outlineLevel="3" x14ac:dyDescent="0.25">
      <c r="A323" s="10" t="s">
        <v>16</v>
      </c>
      <c r="B323" s="87">
        <v>3000</v>
      </c>
      <c r="C323" s="87">
        <v>3000</v>
      </c>
      <c r="D323" s="89"/>
      <c r="E323" s="89"/>
      <c r="F323" s="92">
        <f t="shared" si="23"/>
        <v>0</v>
      </c>
      <c r="G323" s="92">
        <f t="shared" si="24"/>
        <v>0</v>
      </c>
    </row>
    <row r="324" spans="1:7" ht="19.5" customHeight="1" outlineLevel="1" x14ac:dyDescent="0.25">
      <c r="A324" s="28" t="s">
        <v>73</v>
      </c>
      <c r="B324" s="93">
        <v>182328710</v>
      </c>
      <c r="C324" s="93">
        <f>C325+C335</f>
        <v>72261763</v>
      </c>
      <c r="D324" s="93">
        <v>67181110.560000002</v>
      </c>
      <c r="E324" s="93">
        <v>67181110.560000002</v>
      </c>
      <c r="F324" s="94">
        <f t="shared" si="23"/>
        <v>0.92969099799018196</v>
      </c>
      <c r="G324" s="94">
        <f t="shared" si="24"/>
        <v>0.36846150318290521</v>
      </c>
    </row>
    <row r="325" spans="1:7" s="78" customFormat="1" ht="15" customHeight="1" outlineLevel="2" x14ac:dyDescent="0.25">
      <c r="A325" s="8" t="s">
        <v>138</v>
      </c>
      <c r="B325" s="9">
        <v>135891697</v>
      </c>
      <c r="C325" s="9">
        <f>SUM(C326:C334)</f>
        <v>53215860</v>
      </c>
      <c r="D325" s="9">
        <v>50015718.270000003</v>
      </c>
      <c r="E325" s="9">
        <v>50015718.270000003</v>
      </c>
      <c r="F325" s="16">
        <f t="shared" si="23"/>
        <v>0.93986488746024222</v>
      </c>
      <c r="G325" s="16">
        <f t="shared" si="24"/>
        <v>0.36805573389814983</v>
      </c>
    </row>
    <row r="326" spans="1:7" ht="12.75" customHeight="1" outlineLevel="3" x14ac:dyDescent="0.25">
      <c r="A326" s="10" t="s">
        <v>9</v>
      </c>
      <c r="B326" s="87">
        <v>101772123</v>
      </c>
      <c r="C326" s="87">
        <f>53800000-C336</f>
        <v>39875000</v>
      </c>
      <c r="D326" s="87">
        <v>39790006.140000001</v>
      </c>
      <c r="E326" s="87">
        <v>39790006.140000001</v>
      </c>
      <c r="F326" s="92">
        <f t="shared" si="23"/>
        <v>0.99786849253918497</v>
      </c>
      <c r="G326" s="92">
        <f t="shared" si="24"/>
        <v>0.39097156438408975</v>
      </c>
    </row>
    <row r="327" spans="1:7" ht="12.75" customHeight="1" outlineLevel="3" x14ac:dyDescent="0.25">
      <c r="A327" s="10" t="s">
        <v>10</v>
      </c>
      <c r="B327" s="87">
        <v>22389867</v>
      </c>
      <c r="C327" s="87">
        <f>11836000-C337</f>
        <v>8772500</v>
      </c>
      <c r="D327" s="87">
        <v>8683368.9800000004</v>
      </c>
      <c r="E327" s="87">
        <v>8683368.9800000004</v>
      </c>
      <c r="F327" s="92">
        <f t="shared" si="23"/>
        <v>0.98983972413793109</v>
      </c>
      <c r="G327" s="92">
        <f t="shared" si="24"/>
        <v>0.38782584014456184</v>
      </c>
    </row>
    <row r="328" spans="1:7" ht="12.75" customHeight="1" outlineLevel="3" x14ac:dyDescent="0.25">
      <c r="A328" s="10" t="s">
        <v>11</v>
      </c>
      <c r="B328" s="87">
        <v>1900000</v>
      </c>
      <c r="C328" s="87">
        <f>1020000-C338</f>
        <v>900000</v>
      </c>
      <c r="D328" s="87">
        <v>21200</v>
      </c>
      <c r="E328" s="87">
        <v>21200</v>
      </c>
      <c r="F328" s="92">
        <f t="shared" si="23"/>
        <v>2.3555555555555555E-2</v>
      </c>
      <c r="G328" s="92">
        <f t="shared" si="24"/>
        <v>1.1157894736842104E-2</v>
      </c>
    </row>
    <row r="329" spans="1:7" ht="12.75" customHeight="1" outlineLevel="3" x14ac:dyDescent="0.25">
      <c r="A329" s="10" t="s">
        <v>12</v>
      </c>
      <c r="B329" s="87">
        <v>5760684</v>
      </c>
      <c r="C329" s="87">
        <f>2995000-C339</f>
        <v>1725000</v>
      </c>
      <c r="D329" s="87">
        <v>238643.66</v>
      </c>
      <c r="E329" s="87">
        <v>238643.66</v>
      </c>
      <c r="F329" s="92">
        <f t="shared" si="23"/>
        <v>0.13834415072463768</v>
      </c>
      <c r="G329" s="92">
        <f t="shared" si="24"/>
        <v>4.1426271602469429E-2</v>
      </c>
    </row>
    <row r="330" spans="1:7" ht="12.75" customHeight="1" outlineLevel="3" x14ac:dyDescent="0.25">
      <c r="A330" s="10" t="s">
        <v>13</v>
      </c>
      <c r="B330" s="87">
        <v>2650797</v>
      </c>
      <c r="C330" s="87">
        <f>1723009-C340</f>
        <v>1438144</v>
      </c>
      <c r="D330" s="87">
        <v>940619.32</v>
      </c>
      <c r="E330" s="87">
        <v>940619.32</v>
      </c>
      <c r="F330" s="92">
        <f t="shared" si="23"/>
        <v>0.65405085999732981</v>
      </c>
      <c r="G330" s="92">
        <f t="shared" si="24"/>
        <v>0.3548439657959474</v>
      </c>
    </row>
    <row r="331" spans="1:7" ht="12.75" customHeight="1" outlineLevel="3" x14ac:dyDescent="0.25">
      <c r="A331" s="10" t="s">
        <v>14</v>
      </c>
      <c r="B331" s="87">
        <v>131300</v>
      </c>
      <c r="C331" s="87">
        <f>110678-C341</f>
        <v>68300</v>
      </c>
      <c r="D331" s="87">
        <v>45430.16</v>
      </c>
      <c r="E331" s="87">
        <v>45430.16</v>
      </c>
      <c r="F331" s="92">
        <f t="shared" si="23"/>
        <v>0.66515607613469996</v>
      </c>
      <c r="G331" s="92">
        <f t="shared" si="24"/>
        <v>0.34600274181264284</v>
      </c>
    </row>
    <row r="332" spans="1:7" ht="12.75" customHeight="1" outlineLevel="3" x14ac:dyDescent="0.25">
      <c r="A332" s="10" t="s">
        <v>15</v>
      </c>
      <c r="B332" s="87">
        <v>767426</v>
      </c>
      <c r="C332" s="87">
        <f>760836-C342</f>
        <v>428796</v>
      </c>
      <c r="D332" s="87">
        <v>295631.23</v>
      </c>
      <c r="E332" s="87">
        <v>295631.23</v>
      </c>
      <c r="F332" s="92">
        <f t="shared" si="23"/>
        <v>0.68944493418781883</v>
      </c>
      <c r="G332" s="92">
        <f t="shared" si="24"/>
        <v>0.38522441251664652</v>
      </c>
    </row>
    <row r="333" spans="1:7" ht="12.75" customHeight="1" outlineLevel="3" x14ac:dyDescent="0.25">
      <c r="A333" s="10" t="s">
        <v>26</v>
      </c>
      <c r="B333" s="87">
        <v>19500</v>
      </c>
      <c r="C333" s="87">
        <f>16240-C343</f>
        <v>8120</v>
      </c>
      <c r="D333" s="88">
        <v>818.78</v>
      </c>
      <c r="E333" s="88">
        <v>818.78</v>
      </c>
      <c r="F333" s="92">
        <f t="shared" si="23"/>
        <v>0.10083497536945812</v>
      </c>
      <c r="G333" s="92">
        <f t="shared" si="24"/>
        <v>4.1988717948717946E-2</v>
      </c>
    </row>
    <row r="334" spans="1:7" ht="24.75" customHeight="1" outlineLevel="3" x14ac:dyDescent="0.25">
      <c r="A334" s="10" t="s">
        <v>56</v>
      </c>
      <c r="B334" s="87">
        <v>500000</v>
      </c>
      <c r="C334" s="87"/>
      <c r="D334" s="89"/>
      <c r="E334" s="89"/>
      <c r="F334" s="92">
        <v>0</v>
      </c>
      <c r="G334" s="92">
        <f t="shared" si="24"/>
        <v>0</v>
      </c>
    </row>
    <row r="335" spans="1:7" s="78" customFormat="1" ht="26.25" customHeight="1" outlineLevel="2" x14ac:dyDescent="0.25">
      <c r="A335" s="8" t="s">
        <v>39</v>
      </c>
      <c r="B335" s="9">
        <v>46437013</v>
      </c>
      <c r="C335" s="9">
        <v>19045903</v>
      </c>
      <c r="D335" s="9">
        <v>17165392.289999999</v>
      </c>
      <c r="E335" s="9">
        <v>17165392.289999999</v>
      </c>
      <c r="F335" s="16">
        <f t="shared" si="23"/>
        <v>0.901264292378261</v>
      </c>
      <c r="G335" s="16">
        <f t="shared" si="24"/>
        <v>0.369648932630529</v>
      </c>
    </row>
    <row r="336" spans="1:7" ht="14.25" customHeight="1" outlineLevel="3" x14ac:dyDescent="0.25">
      <c r="A336" s="10" t="s">
        <v>9</v>
      </c>
      <c r="B336" s="87">
        <v>35539000</v>
      </c>
      <c r="C336" s="87">
        <v>13925000</v>
      </c>
      <c r="D336" s="87">
        <v>13696612.15</v>
      </c>
      <c r="E336" s="87">
        <v>13696612.15</v>
      </c>
      <c r="F336" s="92">
        <f t="shared" si="23"/>
        <v>0.9835987181328546</v>
      </c>
      <c r="G336" s="92">
        <f t="shared" si="24"/>
        <v>0.38539666704184139</v>
      </c>
    </row>
    <row r="337" spans="1:7" ht="14.25" customHeight="1" outlineLevel="3" x14ac:dyDescent="0.25">
      <c r="A337" s="10" t="s">
        <v>10</v>
      </c>
      <c r="B337" s="87">
        <v>7818580</v>
      </c>
      <c r="C337" s="87">
        <v>3063500</v>
      </c>
      <c r="D337" s="87">
        <v>2994433.6</v>
      </c>
      <c r="E337" s="87">
        <v>2994433.6</v>
      </c>
      <c r="F337" s="92">
        <f t="shared" si="23"/>
        <v>0.97745506773298518</v>
      </c>
      <c r="G337" s="92">
        <f t="shared" si="24"/>
        <v>0.38298944309580513</v>
      </c>
    </row>
    <row r="338" spans="1:7" ht="14.25" customHeight="1" outlineLevel="3" x14ac:dyDescent="0.25">
      <c r="A338" s="10" t="s">
        <v>11</v>
      </c>
      <c r="B338" s="87">
        <v>300000</v>
      </c>
      <c r="C338" s="87">
        <v>120000</v>
      </c>
      <c r="D338" s="87">
        <v>63294</v>
      </c>
      <c r="E338" s="87">
        <v>63294</v>
      </c>
      <c r="F338" s="92">
        <f t="shared" si="23"/>
        <v>0.52744999999999997</v>
      </c>
      <c r="G338" s="92">
        <f t="shared" si="24"/>
        <v>0.21098</v>
      </c>
    </row>
    <row r="339" spans="1:7" ht="14.25" customHeight="1" outlineLevel="3" x14ac:dyDescent="0.25">
      <c r="A339" s="10" t="s">
        <v>12</v>
      </c>
      <c r="B339" s="87">
        <v>1600000</v>
      </c>
      <c r="C339" s="87">
        <v>1270000</v>
      </c>
      <c r="D339" s="87">
        <v>68144.960000000006</v>
      </c>
      <c r="E339" s="87">
        <v>68144.960000000006</v>
      </c>
      <c r="F339" s="92">
        <f t="shared" si="23"/>
        <v>5.3657448818897641E-2</v>
      </c>
      <c r="G339" s="92">
        <f t="shared" si="24"/>
        <v>4.2590600000000006E-2</v>
      </c>
    </row>
    <row r="340" spans="1:7" ht="14.25" customHeight="1" outlineLevel="3" x14ac:dyDescent="0.25">
      <c r="A340" s="10" t="s">
        <v>13</v>
      </c>
      <c r="B340" s="87">
        <v>582549</v>
      </c>
      <c r="C340" s="87">
        <v>284865</v>
      </c>
      <c r="D340" s="87">
        <v>158290.89000000001</v>
      </c>
      <c r="E340" s="87">
        <v>158290.89000000001</v>
      </c>
      <c r="F340" s="92">
        <f t="shared" si="23"/>
        <v>0.55566984361013116</v>
      </c>
      <c r="G340" s="92">
        <f t="shared" si="24"/>
        <v>0.27172115993676071</v>
      </c>
    </row>
    <row r="341" spans="1:7" ht="14.25" customHeight="1" outlineLevel="3" x14ac:dyDescent="0.25">
      <c r="A341" s="10" t="s">
        <v>14</v>
      </c>
      <c r="B341" s="87">
        <v>83110</v>
      </c>
      <c r="C341" s="87">
        <v>42378</v>
      </c>
      <c r="D341" s="87">
        <v>31994.97</v>
      </c>
      <c r="E341" s="87">
        <v>31994.97</v>
      </c>
      <c r="F341" s="92">
        <f t="shared" si="23"/>
        <v>0.75499008919722499</v>
      </c>
      <c r="G341" s="92">
        <f t="shared" si="24"/>
        <v>0.38497136325351944</v>
      </c>
    </row>
    <row r="342" spans="1:7" ht="14.25" customHeight="1" outlineLevel="3" x14ac:dyDescent="0.25">
      <c r="A342" s="10" t="s">
        <v>15</v>
      </c>
      <c r="B342" s="87">
        <v>494274</v>
      </c>
      <c r="C342" s="87">
        <v>332040</v>
      </c>
      <c r="D342" s="87">
        <v>149756.01</v>
      </c>
      <c r="E342" s="87">
        <v>149756.01</v>
      </c>
      <c r="F342" s="92">
        <f t="shared" si="23"/>
        <v>0.45101797976147456</v>
      </c>
      <c r="G342" s="92">
        <f t="shared" si="24"/>
        <v>0.30298176719795095</v>
      </c>
    </row>
    <row r="343" spans="1:7" ht="14.25" customHeight="1" outlineLevel="3" x14ac:dyDescent="0.25">
      <c r="A343" s="10" t="s">
        <v>26</v>
      </c>
      <c r="B343" s="87">
        <v>19500</v>
      </c>
      <c r="C343" s="87">
        <v>8120</v>
      </c>
      <c r="D343" s="87">
        <v>2865.71</v>
      </c>
      <c r="E343" s="87">
        <v>2865.71</v>
      </c>
      <c r="F343" s="92">
        <f t="shared" si="23"/>
        <v>0.35291995073891624</v>
      </c>
      <c r="G343" s="92">
        <f t="shared" si="24"/>
        <v>0.14695948717948717</v>
      </c>
    </row>
    <row r="344" spans="1:7" ht="17.25" customHeight="1" outlineLevel="1" x14ac:dyDescent="0.25">
      <c r="A344" s="28" t="s">
        <v>74</v>
      </c>
      <c r="B344" s="93">
        <v>62760224</v>
      </c>
      <c r="C344" s="93">
        <f>C345</f>
        <v>26108026</v>
      </c>
      <c r="D344" s="93">
        <v>22508019.359999999</v>
      </c>
      <c r="E344" s="93">
        <v>22508019.359999999</v>
      </c>
      <c r="F344" s="94">
        <f t="shared" si="23"/>
        <v>0.86211111326455703</v>
      </c>
      <c r="G344" s="94">
        <f t="shared" si="24"/>
        <v>0.35863510238586782</v>
      </c>
    </row>
    <row r="345" spans="1:7" s="78" customFormat="1" ht="24" outlineLevel="2" x14ac:dyDescent="0.25">
      <c r="A345" s="8" t="s">
        <v>23</v>
      </c>
      <c r="B345" s="9">
        <v>62760224</v>
      </c>
      <c r="C345" s="9">
        <f>SUM(C346:C354)</f>
        <v>26108026</v>
      </c>
      <c r="D345" s="9">
        <v>22508019.359999999</v>
      </c>
      <c r="E345" s="9">
        <v>22508019.359999999</v>
      </c>
      <c r="F345" s="16">
        <f t="shared" si="23"/>
        <v>0.86211111326455703</v>
      </c>
      <c r="G345" s="16">
        <f t="shared" si="24"/>
        <v>0.35863510238586782</v>
      </c>
    </row>
    <row r="346" spans="1:7" ht="13.5" customHeight="1" outlineLevel="3" x14ac:dyDescent="0.25">
      <c r="A346" s="10" t="s">
        <v>9</v>
      </c>
      <c r="B346" s="87">
        <v>43771578</v>
      </c>
      <c r="C346" s="87">
        <v>17700000</v>
      </c>
      <c r="D346" s="87">
        <v>17355416.039999999</v>
      </c>
      <c r="E346" s="87">
        <v>17355416.039999999</v>
      </c>
      <c r="F346" s="92">
        <f t="shared" si="23"/>
        <v>0.98053197966101691</v>
      </c>
      <c r="G346" s="92">
        <f t="shared" si="24"/>
        <v>0.39649966560492744</v>
      </c>
    </row>
    <row r="347" spans="1:7" ht="13.5" customHeight="1" outlineLevel="3" x14ac:dyDescent="0.25">
      <c r="A347" s="10" t="s">
        <v>10</v>
      </c>
      <c r="B347" s="87">
        <v>9629747</v>
      </c>
      <c r="C347" s="87">
        <v>3894000</v>
      </c>
      <c r="D347" s="87">
        <v>3781745.25</v>
      </c>
      <c r="E347" s="87">
        <v>3781745.25</v>
      </c>
      <c r="F347" s="92">
        <f t="shared" si="23"/>
        <v>0.97117238058551614</v>
      </c>
      <c r="G347" s="92">
        <f t="shared" si="24"/>
        <v>0.39271491244785561</v>
      </c>
    </row>
    <row r="348" spans="1:7" ht="13.5" customHeight="1" outlineLevel="3" x14ac:dyDescent="0.25">
      <c r="A348" s="10" t="s">
        <v>11</v>
      </c>
      <c r="B348" s="87">
        <v>805430</v>
      </c>
      <c r="C348" s="87">
        <v>805430</v>
      </c>
      <c r="D348" s="87">
        <v>105994.24000000001</v>
      </c>
      <c r="E348" s="87">
        <v>105994.24000000001</v>
      </c>
      <c r="F348" s="92">
        <f t="shared" si="23"/>
        <v>0.13159956793265709</v>
      </c>
      <c r="G348" s="92">
        <f t="shared" si="24"/>
        <v>0.13159956793265709</v>
      </c>
    </row>
    <row r="349" spans="1:7" ht="13.5" customHeight="1" outlineLevel="3" x14ac:dyDescent="0.25">
      <c r="A349" s="10" t="s">
        <v>12</v>
      </c>
      <c r="B349" s="87">
        <v>6900000</v>
      </c>
      <c r="C349" s="87">
        <v>2900000</v>
      </c>
      <c r="D349" s="87">
        <v>695147.24</v>
      </c>
      <c r="E349" s="87">
        <v>695147.24</v>
      </c>
      <c r="F349" s="92">
        <f t="shared" si="23"/>
        <v>0.2397059448275862</v>
      </c>
      <c r="G349" s="92">
        <f t="shared" si="24"/>
        <v>0.1007459768115942</v>
      </c>
    </row>
    <row r="350" spans="1:7" ht="13.5" customHeight="1" outlineLevel="3" x14ac:dyDescent="0.25">
      <c r="A350" s="10" t="s">
        <v>13</v>
      </c>
      <c r="B350" s="87">
        <v>761088</v>
      </c>
      <c r="C350" s="87">
        <v>316793</v>
      </c>
      <c r="D350" s="87">
        <v>92546.08</v>
      </c>
      <c r="E350" s="87">
        <v>92546.08</v>
      </c>
      <c r="F350" s="92">
        <f t="shared" si="23"/>
        <v>0.29213423276398154</v>
      </c>
      <c r="G350" s="92">
        <f t="shared" si="24"/>
        <v>0.12159708207198117</v>
      </c>
    </row>
    <row r="351" spans="1:7" ht="13.5" customHeight="1" outlineLevel="3" x14ac:dyDescent="0.25">
      <c r="A351" s="10" t="s">
        <v>14</v>
      </c>
      <c r="B351" s="87">
        <v>101851</v>
      </c>
      <c r="C351" s="87">
        <v>72633</v>
      </c>
      <c r="D351" s="87">
        <v>64554.64</v>
      </c>
      <c r="E351" s="87">
        <v>64554.64</v>
      </c>
      <c r="F351" s="92">
        <f t="shared" si="23"/>
        <v>0.88877837897374468</v>
      </c>
      <c r="G351" s="92">
        <f t="shared" si="24"/>
        <v>0.63381449372122023</v>
      </c>
    </row>
    <row r="352" spans="1:7" ht="13.5" customHeight="1" outlineLevel="3" x14ac:dyDescent="0.25">
      <c r="A352" s="10" t="s">
        <v>15</v>
      </c>
      <c r="B352" s="87">
        <v>744290</v>
      </c>
      <c r="C352" s="87">
        <v>395100</v>
      </c>
      <c r="D352" s="87">
        <v>395078.39</v>
      </c>
      <c r="E352" s="87">
        <v>395078.39</v>
      </c>
      <c r="F352" s="92">
        <f t="shared" si="23"/>
        <v>0.99994530498607948</v>
      </c>
      <c r="G352" s="92">
        <f t="shared" si="24"/>
        <v>0.53081243869996908</v>
      </c>
    </row>
    <row r="353" spans="1:7" ht="13.5" customHeight="1" outlineLevel="3" x14ac:dyDescent="0.25">
      <c r="A353" s="10" t="s">
        <v>26</v>
      </c>
      <c r="B353" s="87">
        <v>40240</v>
      </c>
      <c r="C353" s="87">
        <v>18070</v>
      </c>
      <c r="D353" s="87">
        <v>17537.48</v>
      </c>
      <c r="E353" s="87">
        <v>17537.48</v>
      </c>
      <c r="F353" s="92">
        <f t="shared" si="23"/>
        <v>0.97053016048699503</v>
      </c>
      <c r="G353" s="92">
        <f t="shared" si="24"/>
        <v>0.43582206759443337</v>
      </c>
    </row>
    <row r="354" spans="1:7" ht="26.25" customHeight="1" outlineLevel="3" x14ac:dyDescent="0.25">
      <c r="A354" s="10" t="s">
        <v>16</v>
      </c>
      <c r="B354" s="87">
        <v>6000</v>
      </c>
      <c r="C354" s="87">
        <v>6000</v>
      </c>
      <c r="D354" s="89"/>
      <c r="E354" s="89"/>
      <c r="F354" s="92">
        <f t="shared" si="23"/>
        <v>0</v>
      </c>
      <c r="G354" s="92">
        <f t="shared" si="24"/>
        <v>0</v>
      </c>
    </row>
    <row r="355" spans="1:7" ht="12.95" customHeight="1" outlineLevel="1" x14ac:dyDescent="0.25">
      <c r="A355" s="28" t="s">
        <v>75</v>
      </c>
      <c r="B355" s="93">
        <v>117650</v>
      </c>
      <c r="C355" s="93">
        <v>36200</v>
      </c>
      <c r="D355" s="93">
        <v>27150</v>
      </c>
      <c r="E355" s="93">
        <v>27150</v>
      </c>
      <c r="F355" s="94">
        <f t="shared" ref="F355:F412" si="25">D355/C355</f>
        <v>0.75</v>
      </c>
      <c r="G355" s="94">
        <f t="shared" ref="G355:G412" si="26">D355/B355</f>
        <v>0.23076923076923078</v>
      </c>
    </row>
    <row r="356" spans="1:7" s="78" customFormat="1" ht="26.25" customHeight="1" outlineLevel="2" x14ac:dyDescent="0.25">
      <c r="A356" s="8" t="s">
        <v>23</v>
      </c>
      <c r="B356" s="9">
        <v>117650</v>
      </c>
      <c r="C356" s="9">
        <v>36200</v>
      </c>
      <c r="D356" s="9">
        <v>27150</v>
      </c>
      <c r="E356" s="9">
        <v>27150</v>
      </c>
      <c r="F356" s="16">
        <f t="shared" si="25"/>
        <v>0.75</v>
      </c>
      <c r="G356" s="16">
        <f t="shared" si="26"/>
        <v>0.23076923076923078</v>
      </c>
    </row>
    <row r="357" spans="1:7" ht="16.5" customHeight="1" outlineLevel="3" x14ac:dyDescent="0.25">
      <c r="A357" s="10" t="s">
        <v>40</v>
      </c>
      <c r="B357" s="87">
        <v>117650</v>
      </c>
      <c r="C357" s="87">
        <v>36200</v>
      </c>
      <c r="D357" s="87">
        <v>27150</v>
      </c>
      <c r="E357" s="87">
        <v>27150</v>
      </c>
      <c r="F357" s="92">
        <f t="shared" si="25"/>
        <v>0.75</v>
      </c>
      <c r="G357" s="92">
        <f t="shared" si="26"/>
        <v>0.23076923076923078</v>
      </c>
    </row>
    <row r="358" spans="1:7" ht="26.1" customHeight="1" outlineLevel="1" x14ac:dyDescent="0.25">
      <c r="A358" s="28" t="s">
        <v>76</v>
      </c>
      <c r="B358" s="93">
        <v>10470123</v>
      </c>
      <c r="C358" s="93">
        <v>4932952</v>
      </c>
      <c r="D358" s="93">
        <v>2934035.38</v>
      </c>
      <c r="E358" s="93">
        <v>2934035.38</v>
      </c>
      <c r="F358" s="94">
        <f t="shared" si="25"/>
        <v>0.59478287646018047</v>
      </c>
      <c r="G358" s="94">
        <f t="shared" si="26"/>
        <v>0.28022931344741603</v>
      </c>
    </row>
    <row r="359" spans="1:7" s="78" customFormat="1" ht="29.25" customHeight="1" outlineLevel="2" x14ac:dyDescent="0.25">
      <c r="A359" s="8" t="s">
        <v>41</v>
      </c>
      <c r="B359" s="9">
        <v>4557928</v>
      </c>
      <c r="C359" s="9">
        <v>1786157</v>
      </c>
      <c r="D359" s="9">
        <v>1362299.77</v>
      </c>
      <c r="E359" s="9">
        <v>1362299.77</v>
      </c>
      <c r="F359" s="16">
        <f t="shared" si="25"/>
        <v>0.76269878291773907</v>
      </c>
      <c r="G359" s="16">
        <f t="shared" si="26"/>
        <v>0.29888575905543047</v>
      </c>
    </row>
    <row r="360" spans="1:7" ht="13.5" customHeight="1" outlineLevel="3" x14ac:dyDescent="0.25">
      <c r="A360" s="10" t="s">
        <v>9</v>
      </c>
      <c r="B360" s="87">
        <v>2867866</v>
      </c>
      <c r="C360" s="87">
        <v>1094100</v>
      </c>
      <c r="D360" s="87">
        <v>950174.48</v>
      </c>
      <c r="E360" s="87">
        <v>950174.48</v>
      </c>
      <c r="F360" s="92">
        <f t="shared" si="25"/>
        <v>0.86845304816744351</v>
      </c>
      <c r="G360" s="92">
        <f t="shared" si="26"/>
        <v>0.33131759991575616</v>
      </c>
    </row>
    <row r="361" spans="1:7" ht="13.5" customHeight="1" outlineLevel="3" x14ac:dyDescent="0.25">
      <c r="A361" s="10" t="s">
        <v>10</v>
      </c>
      <c r="B361" s="87">
        <v>630930</v>
      </c>
      <c r="C361" s="87">
        <v>240702</v>
      </c>
      <c r="D361" s="87">
        <v>201392</v>
      </c>
      <c r="E361" s="87">
        <v>201392</v>
      </c>
      <c r="F361" s="92">
        <f t="shared" si="25"/>
        <v>0.83668602670522052</v>
      </c>
      <c r="G361" s="92">
        <f t="shared" si="26"/>
        <v>0.31919864327262931</v>
      </c>
    </row>
    <row r="362" spans="1:7" ht="13.5" customHeight="1" outlineLevel="3" x14ac:dyDescent="0.25">
      <c r="A362" s="10" t="s">
        <v>11</v>
      </c>
      <c r="B362" s="87">
        <v>409500</v>
      </c>
      <c r="C362" s="87">
        <v>120000</v>
      </c>
      <c r="D362" s="87">
        <v>15772.1</v>
      </c>
      <c r="E362" s="87">
        <v>15772.1</v>
      </c>
      <c r="F362" s="92">
        <f t="shared" si="25"/>
        <v>0.13143416666666666</v>
      </c>
      <c r="G362" s="92">
        <f t="shared" si="26"/>
        <v>3.8515506715506714E-2</v>
      </c>
    </row>
    <row r="363" spans="1:7" ht="13.5" customHeight="1" outlineLevel="3" x14ac:dyDescent="0.25">
      <c r="A363" s="10" t="s">
        <v>12</v>
      </c>
      <c r="B363" s="87">
        <v>300600</v>
      </c>
      <c r="C363" s="87">
        <v>151325</v>
      </c>
      <c r="D363" s="87">
        <v>32393.57</v>
      </c>
      <c r="E363" s="87">
        <v>32393.57</v>
      </c>
      <c r="F363" s="92">
        <f t="shared" si="25"/>
        <v>0.21406621509995044</v>
      </c>
      <c r="G363" s="92">
        <f t="shared" si="26"/>
        <v>0.10776304058549567</v>
      </c>
    </row>
    <row r="364" spans="1:7" ht="13.5" customHeight="1" outlineLevel="3" x14ac:dyDescent="0.25">
      <c r="A364" s="10" t="s">
        <v>13</v>
      </c>
      <c r="B364" s="87">
        <v>204526</v>
      </c>
      <c r="C364" s="87">
        <v>143361</v>
      </c>
      <c r="D364" s="87">
        <v>133471.35</v>
      </c>
      <c r="E364" s="87">
        <v>133471.35</v>
      </c>
      <c r="F364" s="92">
        <f t="shared" si="25"/>
        <v>0.93101575742356713</v>
      </c>
      <c r="G364" s="92">
        <f t="shared" si="26"/>
        <v>0.65258866843335328</v>
      </c>
    </row>
    <row r="365" spans="1:7" ht="13.5" customHeight="1" outlineLevel="3" x14ac:dyDescent="0.25">
      <c r="A365" s="10" t="s">
        <v>14</v>
      </c>
      <c r="B365" s="87">
        <v>15549</v>
      </c>
      <c r="C365" s="87">
        <v>8295</v>
      </c>
      <c r="D365" s="87">
        <v>6685.26</v>
      </c>
      <c r="E365" s="87">
        <v>6685.26</v>
      </c>
      <c r="F365" s="92">
        <f t="shared" si="25"/>
        <v>0.80593851717902354</v>
      </c>
      <c r="G365" s="92">
        <f t="shared" si="26"/>
        <v>0.42994790661778892</v>
      </c>
    </row>
    <row r="366" spans="1:7" ht="13.5" customHeight="1" outlineLevel="3" x14ac:dyDescent="0.25">
      <c r="A366" s="10" t="s">
        <v>15</v>
      </c>
      <c r="B366" s="87">
        <v>125957</v>
      </c>
      <c r="C366" s="87">
        <v>25374</v>
      </c>
      <c r="D366" s="87">
        <v>20657.009999999998</v>
      </c>
      <c r="E366" s="87">
        <v>20657.009999999998</v>
      </c>
      <c r="F366" s="92">
        <f t="shared" si="25"/>
        <v>0.81410144242137616</v>
      </c>
      <c r="G366" s="92">
        <f t="shared" si="26"/>
        <v>0.16400049223147581</v>
      </c>
    </row>
    <row r="367" spans="1:7" ht="27.75" customHeight="1" outlineLevel="3" x14ac:dyDescent="0.25">
      <c r="A367" s="10" t="s">
        <v>16</v>
      </c>
      <c r="B367" s="87">
        <v>3000</v>
      </c>
      <c r="C367" s="87">
        <v>3000</v>
      </c>
      <c r="D367" s="87">
        <v>1754</v>
      </c>
      <c r="E367" s="87">
        <v>1754</v>
      </c>
      <c r="F367" s="92">
        <f t="shared" si="25"/>
        <v>0.58466666666666667</v>
      </c>
      <c r="G367" s="92">
        <f t="shared" si="26"/>
        <v>0.58466666666666667</v>
      </c>
    </row>
    <row r="368" spans="1:7" s="78" customFormat="1" ht="17.25" customHeight="1" outlineLevel="2" x14ac:dyDescent="0.25">
      <c r="A368" s="8" t="s">
        <v>42</v>
      </c>
      <c r="B368" s="9">
        <v>5912195</v>
      </c>
      <c r="C368" s="9">
        <v>3146795</v>
      </c>
      <c r="D368" s="9">
        <v>1571735.61</v>
      </c>
      <c r="E368" s="9">
        <v>1571735.61</v>
      </c>
      <c r="F368" s="16">
        <f t="shared" si="25"/>
        <v>0.49947187853037778</v>
      </c>
      <c r="G368" s="16">
        <f t="shared" si="26"/>
        <v>0.26584637516184767</v>
      </c>
    </row>
    <row r="369" spans="1:7" ht="14.25" customHeight="1" outlineLevel="3" x14ac:dyDescent="0.25">
      <c r="A369" s="10" t="s">
        <v>9</v>
      </c>
      <c r="B369" s="87">
        <v>3624012</v>
      </c>
      <c r="C369" s="87">
        <v>1479012</v>
      </c>
      <c r="D369" s="87">
        <v>1150707.04</v>
      </c>
      <c r="E369" s="87">
        <v>1150707.04</v>
      </c>
      <c r="F369" s="92">
        <f t="shared" si="25"/>
        <v>0.77802414043969892</v>
      </c>
      <c r="G369" s="92">
        <f t="shared" si="26"/>
        <v>0.31752296625949361</v>
      </c>
    </row>
    <row r="370" spans="1:7" ht="14.25" customHeight="1" outlineLevel="3" x14ac:dyDescent="0.25">
      <c r="A370" s="10" t="s">
        <v>10</v>
      </c>
      <c r="B370" s="87">
        <v>797283</v>
      </c>
      <c r="C370" s="87">
        <v>325383</v>
      </c>
      <c r="D370" s="87">
        <v>239568.78</v>
      </c>
      <c r="E370" s="87">
        <v>239568.78</v>
      </c>
      <c r="F370" s="92">
        <f t="shared" si="25"/>
        <v>0.73626704529738796</v>
      </c>
      <c r="G370" s="92">
        <f t="shared" si="26"/>
        <v>0.30048148524426083</v>
      </c>
    </row>
    <row r="371" spans="1:7" ht="14.25" customHeight="1" outlineLevel="3" x14ac:dyDescent="0.25">
      <c r="A371" s="10" t="s">
        <v>11</v>
      </c>
      <c r="B371" s="87">
        <v>290500</v>
      </c>
      <c r="C371" s="87">
        <v>290500</v>
      </c>
      <c r="D371" s="87">
        <v>21600</v>
      </c>
      <c r="E371" s="87">
        <v>21600</v>
      </c>
      <c r="F371" s="92">
        <f t="shared" si="25"/>
        <v>7.4354561101549047E-2</v>
      </c>
      <c r="G371" s="92">
        <f t="shared" si="26"/>
        <v>7.4354561101549047E-2</v>
      </c>
    </row>
    <row r="372" spans="1:7" ht="14.25" customHeight="1" outlineLevel="3" x14ac:dyDescent="0.25">
      <c r="A372" s="10" t="s">
        <v>12</v>
      </c>
      <c r="B372" s="87">
        <v>899400</v>
      </c>
      <c r="C372" s="87">
        <v>899400</v>
      </c>
      <c r="D372" s="87">
        <v>51289</v>
      </c>
      <c r="E372" s="87">
        <v>51289</v>
      </c>
      <c r="F372" s="92">
        <f t="shared" si="25"/>
        <v>5.7025794974427398E-2</v>
      </c>
      <c r="G372" s="92">
        <f t="shared" si="26"/>
        <v>5.7025794974427398E-2</v>
      </c>
    </row>
    <row r="373" spans="1:7" ht="14.25" customHeight="1" outlineLevel="3" x14ac:dyDescent="0.25">
      <c r="A373" s="10" t="s">
        <v>13</v>
      </c>
      <c r="B373" s="87">
        <v>191193</v>
      </c>
      <c r="C373" s="87">
        <v>76193</v>
      </c>
      <c r="D373" s="87">
        <v>33460.82</v>
      </c>
      <c r="E373" s="87">
        <v>33460.82</v>
      </c>
      <c r="F373" s="92">
        <f t="shared" si="25"/>
        <v>0.43915871536755346</v>
      </c>
      <c r="G373" s="92">
        <f t="shared" si="26"/>
        <v>0.17501069599828445</v>
      </c>
    </row>
    <row r="374" spans="1:7" ht="14.25" customHeight="1" outlineLevel="3" x14ac:dyDescent="0.25">
      <c r="A374" s="10" t="s">
        <v>14</v>
      </c>
      <c r="B374" s="87">
        <v>20000</v>
      </c>
      <c r="C374" s="87">
        <v>6955</v>
      </c>
      <c r="D374" s="87">
        <v>5778.06</v>
      </c>
      <c r="E374" s="87">
        <v>5778.06</v>
      </c>
      <c r="F374" s="92">
        <f t="shared" si="25"/>
        <v>0.83077785765636236</v>
      </c>
      <c r="G374" s="92">
        <f t="shared" si="26"/>
        <v>0.28890300000000002</v>
      </c>
    </row>
    <row r="375" spans="1:7" ht="14.25" customHeight="1" outlineLevel="3" x14ac:dyDescent="0.25">
      <c r="A375" s="10" t="s">
        <v>15</v>
      </c>
      <c r="B375" s="87">
        <v>86807</v>
      </c>
      <c r="C375" s="87">
        <v>66352</v>
      </c>
      <c r="D375" s="87">
        <v>69331.91</v>
      </c>
      <c r="E375" s="87">
        <v>69331.91</v>
      </c>
      <c r="F375" s="92">
        <f t="shared" si="25"/>
        <v>1.0449106281649385</v>
      </c>
      <c r="G375" s="92">
        <f t="shared" si="26"/>
        <v>0.79869031299319182</v>
      </c>
    </row>
    <row r="376" spans="1:7" ht="27.75" customHeight="1" outlineLevel="3" x14ac:dyDescent="0.25">
      <c r="A376" s="10" t="s">
        <v>16</v>
      </c>
      <c r="B376" s="87">
        <v>3000</v>
      </c>
      <c r="C376" s="87">
        <v>3000</v>
      </c>
      <c r="D376" s="89"/>
      <c r="E376" s="89"/>
      <c r="F376" s="92">
        <f t="shared" si="25"/>
        <v>0</v>
      </c>
      <c r="G376" s="92">
        <f t="shared" si="26"/>
        <v>0</v>
      </c>
    </row>
    <row r="377" spans="1:7" ht="26.1" customHeight="1" outlineLevel="1" x14ac:dyDescent="0.25">
      <c r="A377" s="28" t="s">
        <v>77</v>
      </c>
      <c r="B377" s="93">
        <v>5791281</v>
      </c>
      <c r="C377" s="93">
        <v>3671353</v>
      </c>
      <c r="D377" s="93">
        <v>3671353</v>
      </c>
      <c r="E377" s="93">
        <v>3671353</v>
      </c>
      <c r="F377" s="94">
        <f t="shared" si="25"/>
        <v>1</v>
      </c>
      <c r="G377" s="94">
        <f t="shared" si="26"/>
        <v>0.63394489060365056</v>
      </c>
    </row>
    <row r="378" spans="1:7" s="78" customFormat="1" ht="26.25" customHeight="1" outlineLevel="2" x14ac:dyDescent="0.25">
      <c r="A378" s="8" t="s">
        <v>41</v>
      </c>
      <c r="B378" s="9">
        <v>2528513</v>
      </c>
      <c r="C378" s="9">
        <v>1602913</v>
      </c>
      <c r="D378" s="9">
        <v>1602913</v>
      </c>
      <c r="E378" s="9">
        <v>1602913</v>
      </c>
      <c r="F378" s="16">
        <f t="shared" si="25"/>
        <v>1</v>
      </c>
      <c r="G378" s="16">
        <f t="shared" si="26"/>
        <v>0.63393504403576328</v>
      </c>
    </row>
    <row r="379" spans="1:7" ht="14.25" customHeight="1" outlineLevel="3" x14ac:dyDescent="0.25">
      <c r="A379" s="10" t="s">
        <v>9</v>
      </c>
      <c r="B379" s="87">
        <v>2072552</v>
      </c>
      <c r="C379" s="87">
        <v>1313863</v>
      </c>
      <c r="D379" s="87">
        <v>1313863</v>
      </c>
      <c r="E379" s="87">
        <v>1313863</v>
      </c>
      <c r="F379" s="92">
        <f t="shared" si="25"/>
        <v>1</v>
      </c>
      <c r="G379" s="92">
        <f t="shared" si="26"/>
        <v>0.63393487835287121</v>
      </c>
    </row>
    <row r="380" spans="1:7" ht="14.25" customHeight="1" outlineLevel="3" x14ac:dyDescent="0.25">
      <c r="A380" s="10" t="s">
        <v>10</v>
      </c>
      <c r="B380" s="87">
        <v>455961</v>
      </c>
      <c r="C380" s="87">
        <v>289050</v>
      </c>
      <c r="D380" s="87">
        <v>289050</v>
      </c>
      <c r="E380" s="87">
        <v>289050</v>
      </c>
      <c r="F380" s="92">
        <f t="shared" si="25"/>
        <v>1</v>
      </c>
      <c r="G380" s="92">
        <f t="shared" si="26"/>
        <v>0.63393579714054493</v>
      </c>
    </row>
    <row r="381" spans="1:7" s="78" customFormat="1" ht="18" customHeight="1" outlineLevel="2" x14ac:dyDescent="0.25">
      <c r="A381" s="8" t="s">
        <v>42</v>
      </c>
      <c r="B381" s="9">
        <v>3262768</v>
      </c>
      <c r="C381" s="9">
        <v>2068440</v>
      </c>
      <c r="D381" s="9">
        <v>2068440</v>
      </c>
      <c r="E381" s="9">
        <v>2068440</v>
      </c>
      <c r="F381" s="16">
        <f t="shared" si="25"/>
        <v>1</v>
      </c>
      <c r="G381" s="16">
        <f t="shared" si="26"/>
        <v>0.6339525212948024</v>
      </c>
    </row>
    <row r="382" spans="1:7" ht="15" customHeight="1" outlineLevel="3" x14ac:dyDescent="0.25">
      <c r="A382" s="10" t="s">
        <v>9</v>
      </c>
      <c r="B382" s="87">
        <v>2674400</v>
      </c>
      <c r="C382" s="87">
        <v>1695443</v>
      </c>
      <c r="D382" s="87">
        <v>1695443</v>
      </c>
      <c r="E382" s="87">
        <v>1695443</v>
      </c>
      <c r="F382" s="92">
        <f t="shared" si="25"/>
        <v>1</v>
      </c>
      <c r="G382" s="92">
        <f t="shared" si="26"/>
        <v>0.63395266227938973</v>
      </c>
    </row>
    <row r="383" spans="1:7" ht="15" customHeight="1" outlineLevel="3" x14ac:dyDescent="0.25">
      <c r="A383" s="10" t="s">
        <v>10</v>
      </c>
      <c r="B383" s="87">
        <v>588368</v>
      </c>
      <c r="C383" s="87">
        <v>372997</v>
      </c>
      <c r="D383" s="87">
        <v>372997</v>
      </c>
      <c r="E383" s="87">
        <v>372997</v>
      </c>
      <c r="F383" s="92">
        <f t="shared" si="25"/>
        <v>1</v>
      </c>
      <c r="G383" s="92">
        <f t="shared" si="26"/>
        <v>0.63395188045576922</v>
      </c>
    </row>
    <row r="384" spans="1:7" ht="51" customHeight="1" outlineLevel="1" x14ac:dyDescent="0.25">
      <c r="A384" s="28" t="s">
        <v>123</v>
      </c>
      <c r="B384" s="93">
        <v>3286500</v>
      </c>
      <c r="C384" s="93">
        <v>2728600</v>
      </c>
      <c r="D384" s="93">
        <v>2728600</v>
      </c>
      <c r="E384" s="93">
        <v>1622430.38</v>
      </c>
      <c r="F384" s="94">
        <f t="shared" si="25"/>
        <v>1</v>
      </c>
      <c r="G384" s="94">
        <f t="shared" si="26"/>
        <v>0.83024494142705008</v>
      </c>
    </row>
    <row r="385" spans="1:7" s="78" customFormat="1" ht="12" customHeight="1" outlineLevel="2" x14ac:dyDescent="0.25">
      <c r="A385" s="8" t="s">
        <v>28</v>
      </c>
      <c r="B385" s="9">
        <v>220853</v>
      </c>
      <c r="C385" s="9">
        <v>183365</v>
      </c>
      <c r="D385" s="9">
        <v>183365</v>
      </c>
      <c r="E385" s="9">
        <v>90336.54</v>
      </c>
      <c r="F385" s="16">
        <f t="shared" si="25"/>
        <v>1</v>
      </c>
      <c r="G385" s="16">
        <f t="shared" si="26"/>
        <v>0.83025813550189498</v>
      </c>
    </row>
    <row r="386" spans="1:7" ht="13.5" customHeight="1" outlineLevel="3" x14ac:dyDescent="0.25">
      <c r="A386" s="10" t="s">
        <v>9</v>
      </c>
      <c r="B386" s="87">
        <v>181027</v>
      </c>
      <c r="C386" s="87">
        <v>150299</v>
      </c>
      <c r="D386" s="87">
        <v>150299</v>
      </c>
      <c r="E386" s="87">
        <v>74046.34</v>
      </c>
      <c r="F386" s="92">
        <f t="shared" si="25"/>
        <v>1</v>
      </c>
      <c r="G386" s="92">
        <f t="shared" si="26"/>
        <v>0.83025736492346447</v>
      </c>
    </row>
    <row r="387" spans="1:7" ht="13.5" customHeight="1" outlineLevel="3" x14ac:dyDescent="0.25">
      <c r="A387" s="10" t="s">
        <v>10</v>
      </c>
      <c r="B387" s="87">
        <v>39826</v>
      </c>
      <c r="C387" s="87">
        <v>33066</v>
      </c>
      <c r="D387" s="87">
        <v>33066</v>
      </c>
      <c r="E387" s="87">
        <v>16290.2</v>
      </c>
      <c r="F387" s="92">
        <f t="shared" si="25"/>
        <v>1</v>
      </c>
      <c r="G387" s="92">
        <f t="shared" si="26"/>
        <v>0.83026163812584741</v>
      </c>
    </row>
    <row r="388" spans="1:7" s="78" customFormat="1" ht="14.25" customHeight="1" outlineLevel="2" x14ac:dyDescent="0.25">
      <c r="A388" s="8" t="s">
        <v>33</v>
      </c>
      <c r="B388" s="9">
        <v>137675</v>
      </c>
      <c r="C388" s="9">
        <v>137675</v>
      </c>
      <c r="D388" s="9">
        <v>137675</v>
      </c>
      <c r="E388" s="9">
        <v>124882.05</v>
      </c>
      <c r="F388" s="16">
        <f t="shared" si="25"/>
        <v>1</v>
      </c>
      <c r="G388" s="16">
        <f t="shared" si="26"/>
        <v>1</v>
      </c>
    </row>
    <row r="389" spans="1:7" ht="15" customHeight="1" outlineLevel="3" x14ac:dyDescent="0.25">
      <c r="A389" s="10" t="s">
        <v>9</v>
      </c>
      <c r="B389" s="87">
        <v>112848</v>
      </c>
      <c r="C389" s="87">
        <v>112848</v>
      </c>
      <c r="D389" s="87">
        <v>112848</v>
      </c>
      <c r="E389" s="87">
        <v>102362.34</v>
      </c>
      <c r="F389" s="92">
        <f t="shared" si="25"/>
        <v>1</v>
      </c>
      <c r="G389" s="92">
        <f t="shared" si="26"/>
        <v>1</v>
      </c>
    </row>
    <row r="390" spans="1:7" ht="15" customHeight="1" outlineLevel="3" x14ac:dyDescent="0.25">
      <c r="A390" s="10" t="s">
        <v>10</v>
      </c>
      <c r="B390" s="87">
        <v>24827</v>
      </c>
      <c r="C390" s="87">
        <v>24827</v>
      </c>
      <c r="D390" s="87">
        <v>24827</v>
      </c>
      <c r="E390" s="87">
        <v>22519.71</v>
      </c>
      <c r="F390" s="92">
        <f t="shared" si="25"/>
        <v>1</v>
      </c>
      <c r="G390" s="92">
        <f t="shared" si="26"/>
        <v>1</v>
      </c>
    </row>
    <row r="391" spans="1:7" s="78" customFormat="1" ht="12" customHeight="1" outlineLevel="2" x14ac:dyDescent="0.25">
      <c r="A391" s="8" t="s">
        <v>30</v>
      </c>
      <c r="B391" s="9">
        <v>8605</v>
      </c>
      <c r="C391" s="9">
        <v>8605</v>
      </c>
      <c r="D391" s="9">
        <v>8605</v>
      </c>
      <c r="E391" s="9">
        <v>8463.65</v>
      </c>
      <c r="F391" s="16">
        <f t="shared" si="25"/>
        <v>1</v>
      </c>
      <c r="G391" s="16">
        <f t="shared" si="26"/>
        <v>1</v>
      </c>
    </row>
    <row r="392" spans="1:7" ht="11.1" customHeight="1" outlineLevel="3" x14ac:dyDescent="0.25">
      <c r="A392" s="10" t="s">
        <v>9</v>
      </c>
      <c r="B392" s="87">
        <v>7053</v>
      </c>
      <c r="C392" s="87">
        <v>7053</v>
      </c>
      <c r="D392" s="87">
        <v>7053</v>
      </c>
      <c r="E392" s="87">
        <v>6937.42</v>
      </c>
      <c r="F392" s="92">
        <f t="shared" si="25"/>
        <v>1</v>
      </c>
      <c r="G392" s="92">
        <f t="shared" si="26"/>
        <v>1</v>
      </c>
    </row>
    <row r="393" spans="1:7" ht="11.1" customHeight="1" outlineLevel="3" x14ac:dyDescent="0.25">
      <c r="A393" s="10" t="s">
        <v>10</v>
      </c>
      <c r="B393" s="87">
        <v>1552</v>
      </c>
      <c r="C393" s="87">
        <v>1552</v>
      </c>
      <c r="D393" s="87">
        <v>1552</v>
      </c>
      <c r="E393" s="87">
        <v>1526.23</v>
      </c>
      <c r="F393" s="92">
        <f t="shared" si="25"/>
        <v>1</v>
      </c>
      <c r="G393" s="92">
        <f t="shared" si="26"/>
        <v>1</v>
      </c>
    </row>
    <row r="394" spans="1:7" ht="25.5" customHeight="1" outlineLevel="2" x14ac:dyDescent="0.25">
      <c r="A394" s="5" t="s">
        <v>35</v>
      </c>
      <c r="B394" s="6">
        <v>51628</v>
      </c>
      <c r="C394" s="6">
        <v>42864</v>
      </c>
      <c r="D394" s="6">
        <v>42864</v>
      </c>
      <c r="E394" s="6">
        <v>35063.71</v>
      </c>
      <c r="F394" s="7">
        <f t="shared" si="25"/>
        <v>1</v>
      </c>
      <c r="G394" s="7">
        <f t="shared" si="26"/>
        <v>0.830247152707833</v>
      </c>
    </row>
    <row r="395" spans="1:7" ht="13.5" customHeight="1" outlineLevel="3" x14ac:dyDescent="0.25">
      <c r="A395" s="10" t="s">
        <v>9</v>
      </c>
      <c r="B395" s="87">
        <v>42318</v>
      </c>
      <c r="C395" s="87">
        <v>35134</v>
      </c>
      <c r="D395" s="87">
        <v>35134</v>
      </c>
      <c r="E395" s="87">
        <v>28740.74</v>
      </c>
      <c r="F395" s="92">
        <f t="shared" si="25"/>
        <v>1</v>
      </c>
      <c r="G395" s="92">
        <f t="shared" si="26"/>
        <v>0.83023772389999528</v>
      </c>
    </row>
    <row r="396" spans="1:7" ht="13.5" customHeight="1" outlineLevel="3" x14ac:dyDescent="0.25">
      <c r="A396" s="10" t="s">
        <v>10</v>
      </c>
      <c r="B396" s="87">
        <v>9310</v>
      </c>
      <c r="C396" s="87">
        <v>7730</v>
      </c>
      <c r="D396" s="87">
        <v>7730</v>
      </c>
      <c r="E396" s="87">
        <v>6322.97</v>
      </c>
      <c r="F396" s="92">
        <f t="shared" si="25"/>
        <v>1</v>
      </c>
      <c r="G396" s="92">
        <f t="shared" si="26"/>
        <v>0.83029001074113851</v>
      </c>
    </row>
    <row r="397" spans="1:7" s="78" customFormat="1" ht="24" outlineLevel="2" x14ac:dyDescent="0.25">
      <c r="A397" s="8" t="s">
        <v>23</v>
      </c>
      <c r="B397" s="9">
        <v>2818979</v>
      </c>
      <c r="C397" s="9">
        <v>2315609</v>
      </c>
      <c r="D397" s="9">
        <v>2315609</v>
      </c>
      <c r="E397" s="9">
        <v>1363684.43</v>
      </c>
      <c r="F397" s="16">
        <f t="shared" si="25"/>
        <v>1</v>
      </c>
      <c r="G397" s="16">
        <f t="shared" si="26"/>
        <v>0.82143534946517871</v>
      </c>
    </row>
    <row r="398" spans="1:7" ht="12.75" customHeight="1" outlineLevel="3" x14ac:dyDescent="0.25">
      <c r="A398" s="10" t="s">
        <v>9</v>
      </c>
      <c r="B398" s="87">
        <v>2310687</v>
      </c>
      <c r="C398" s="87">
        <v>1898084</v>
      </c>
      <c r="D398" s="87">
        <v>1898084</v>
      </c>
      <c r="E398" s="87">
        <v>1117774.1000000001</v>
      </c>
      <c r="F398" s="92">
        <f t="shared" si="25"/>
        <v>1</v>
      </c>
      <c r="G398" s="92">
        <f t="shared" si="26"/>
        <v>0.82143708775788327</v>
      </c>
    </row>
    <row r="399" spans="1:7" ht="12.75" customHeight="1" outlineLevel="3" x14ac:dyDescent="0.25">
      <c r="A399" s="10" t="s">
        <v>10</v>
      </c>
      <c r="B399" s="87">
        <v>508292</v>
      </c>
      <c r="C399" s="87">
        <v>417525</v>
      </c>
      <c r="D399" s="87">
        <v>417525</v>
      </c>
      <c r="E399" s="87">
        <v>245910.33</v>
      </c>
      <c r="F399" s="92">
        <f t="shared" si="25"/>
        <v>1</v>
      </c>
      <c r="G399" s="92">
        <f t="shared" si="26"/>
        <v>0.82142744721538019</v>
      </c>
    </row>
    <row r="400" spans="1:7" s="78" customFormat="1" ht="17.25" customHeight="1" outlineLevel="2" x14ac:dyDescent="0.25">
      <c r="A400" s="8" t="s">
        <v>36</v>
      </c>
      <c r="B400" s="9">
        <v>48760</v>
      </c>
      <c r="C400" s="9">
        <v>40482</v>
      </c>
      <c r="D400" s="9">
        <v>40482</v>
      </c>
      <c r="E400" s="80"/>
      <c r="F400" s="16">
        <f t="shared" si="25"/>
        <v>1</v>
      </c>
      <c r="G400" s="16">
        <f t="shared" si="26"/>
        <v>0.83022969647251843</v>
      </c>
    </row>
    <row r="401" spans="1:7" ht="13.5" customHeight="1" outlineLevel="3" x14ac:dyDescent="0.25">
      <c r="A401" s="10" t="s">
        <v>9</v>
      </c>
      <c r="B401" s="87">
        <v>39967</v>
      </c>
      <c r="C401" s="87">
        <v>33182</v>
      </c>
      <c r="D401" s="87">
        <v>33182</v>
      </c>
      <c r="E401" s="89"/>
      <c r="F401" s="92">
        <f t="shared" si="25"/>
        <v>1</v>
      </c>
      <c r="G401" s="92">
        <f t="shared" si="26"/>
        <v>0.83023494382865859</v>
      </c>
    </row>
    <row r="402" spans="1:7" ht="13.5" customHeight="1" outlineLevel="3" x14ac:dyDescent="0.25">
      <c r="A402" s="10" t="s">
        <v>10</v>
      </c>
      <c r="B402" s="87">
        <v>8793</v>
      </c>
      <c r="C402" s="87">
        <v>7300</v>
      </c>
      <c r="D402" s="87">
        <v>7300</v>
      </c>
      <c r="E402" s="89"/>
      <c r="F402" s="92">
        <f t="shared" si="25"/>
        <v>1</v>
      </c>
      <c r="G402" s="92">
        <f t="shared" si="26"/>
        <v>0.83020584555896737</v>
      </c>
    </row>
    <row r="403" spans="1:7" ht="38.1" customHeight="1" outlineLevel="1" x14ac:dyDescent="0.25">
      <c r="A403" s="28" t="s">
        <v>116</v>
      </c>
      <c r="B403" s="93">
        <v>37695268</v>
      </c>
      <c r="C403" s="93">
        <v>35695268</v>
      </c>
      <c r="D403" s="93">
        <v>6390007.0199999996</v>
      </c>
      <c r="E403" s="93">
        <v>6390007.0199999996</v>
      </c>
      <c r="F403" s="94">
        <f t="shared" si="25"/>
        <v>0.17901552160919479</v>
      </c>
      <c r="G403" s="94">
        <f t="shared" si="26"/>
        <v>0.16951748479411261</v>
      </c>
    </row>
    <row r="404" spans="1:7" s="78" customFormat="1" ht="27.75" customHeight="1" outlineLevel="2" x14ac:dyDescent="0.25">
      <c r="A404" s="8" t="s">
        <v>23</v>
      </c>
      <c r="B404" s="9">
        <v>37695268</v>
      </c>
      <c r="C404" s="9">
        <v>35695268</v>
      </c>
      <c r="D404" s="9">
        <v>6390007.0199999996</v>
      </c>
      <c r="E404" s="9">
        <v>6390007.0199999996</v>
      </c>
      <c r="F404" s="16">
        <f t="shared" si="25"/>
        <v>0.17901552160919479</v>
      </c>
      <c r="G404" s="16">
        <f t="shared" si="26"/>
        <v>0.16951748479411261</v>
      </c>
    </row>
    <row r="405" spans="1:7" ht="15" customHeight="1" outlineLevel="3" x14ac:dyDescent="0.25">
      <c r="A405" s="10" t="s">
        <v>57</v>
      </c>
      <c r="B405" s="87">
        <v>37695268</v>
      </c>
      <c r="C405" s="87">
        <v>35695268</v>
      </c>
      <c r="D405" s="87">
        <v>6390007.0199999996</v>
      </c>
      <c r="E405" s="87">
        <v>6390007.0199999996</v>
      </c>
      <c r="F405" s="92">
        <f t="shared" si="25"/>
        <v>0.17901552160919479</v>
      </c>
      <c r="G405" s="92">
        <f t="shared" si="26"/>
        <v>0.16951748479411261</v>
      </c>
    </row>
    <row r="406" spans="1:7" ht="39.75" customHeight="1" outlineLevel="1" x14ac:dyDescent="0.25">
      <c r="A406" s="28" t="s">
        <v>78</v>
      </c>
      <c r="B406" s="93">
        <v>88849153</v>
      </c>
      <c r="C406" s="93">
        <v>74040970</v>
      </c>
      <c r="D406" s="93">
        <v>74040970</v>
      </c>
      <c r="E406" s="93">
        <v>64373857.25</v>
      </c>
      <c r="F406" s="94">
        <f t="shared" si="25"/>
        <v>1</v>
      </c>
      <c r="G406" s="94">
        <f t="shared" si="26"/>
        <v>0.8333334365044538</v>
      </c>
    </row>
    <row r="407" spans="1:7" s="78" customFormat="1" ht="14.25" customHeight="1" outlineLevel="2" x14ac:dyDescent="0.25">
      <c r="A407" s="8" t="s">
        <v>28</v>
      </c>
      <c r="B407" s="9">
        <v>3519396</v>
      </c>
      <c r="C407" s="9">
        <v>2932830</v>
      </c>
      <c r="D407" s="9">
        <v>2932830</v>
      </c>
      <c r="E407" s="9">
        <v>2686123.81</v>
      </c>
      <c r="F407" s="16">
        <f t="shared" si="25"/>
        <v>1</v>
      </c>
      <c r="G407" s="16">
        <f t="shared" si="26"/>
        <v>0.83333333333333337</v>
      </c>
    </row>
    <row r="408" spans="1:7" ht="13.5" customHeight="1" outlineLevel="3" x14ac:dyDescent="0.25">
      <c r="A408" s="10" t="s">
        <v>9</v>
      </c>
      <c r="B408" s="87">
        <v>2884752</v>
      </c>
      <c r="C408" s="87">
        <v>2403960</v>
      </c>
      <c r="D408" s="87">
        <v>2403960</v>
      </c>
      <c r="E408" s="87">
        <v>2201740.83</v>
      </c>
      <c r="F408" s="92">
        <f t="shared" si="25"/>
        <v>1</v>
      </c>
      <c r="G408" s="92">
        <f t="shared" si="26"/>
        <v>0.83333333333333337</v>
      </c>
    </row>
    <row r="409" spans="1:7" ht="13.5" customHeight="1" outlineLevel="3" x14ac:dyDescent="0.25">
      <c r="A409" s="10" t="s">
        <v>10</v>
      </c>
      <c r="B409" s="87">
        <v>634644</v>
      </c>
      <c r="C409" s="87">
        <v>528870</v>
      </c>
      <c r="D409" s="87">
        <v>528870</v>
      </c>
      <c r="E409" s="87">
        <v>484382.98</v>
      </c>
      <c r="F409" s="92">
        <f t="shared" si="25"/>
        <v>1</v>
      </c>
      <c r="G409" s="92">
        <f t="shared" si="26"/>
        <v>0.83333333333333337</v>
      </c>
    </row>
    <row r="410" spans="1:7" s="78" customFormat="1" ht="13.5" customHeight="1" outlineLevel="2" x14ac:dyDescent="0.25">
      <c r="A410" s="8" t="s">
        <v>33</v>
      </c>
      <c r="B410" s="9">
        <v>3754254</v>
      </c>
      <c r="C410" s="9">
        <v>3128545</v>
      </c>
      <c r="D410" s="9">
        <v>3128545</v>
      </c>
      <c r="E410" s="9">
        <v>2851058.39</v>
      </c>
      <c r="F410" s="16">
        <f t="shared" si="25"/>
        <v>1</v>
      </c>
      <c r="G410" s="16">
        <f t="shared" si="26"/>
        <v>0.83333333333333337</v>
      </c>
    </row>
    <row r="411" spans="1:7" ht="13.5" customHeight="1" outlineLevel="3" x14ac:dyDescent="0.25">
      <c r="A411" s="10" t="s">
        <v>9</v>
      </c>
      <c r="B411" s="87">
        <v>3077256</v>
      </c>
      <c r="C411" s="87">
        <v>2564380</v>
      </c>
      <c r="D411" s="87">
        <v>2564380</v>
      </c>
      <c r="E411" s="87">
        <v>2336933.11</v>
      </c>
      <c r="F411" s="92">
        <f t="shared" si="25"/>
        <v>1</v>
      </c>
      <c r="G411" s="92">
        <f t="shared" si="26"/>
        <v>0.83333333333333337</v>
      </c>
    </row>
    <row r="412" spans="1:7" ht="13.5" customHeight="1" outlineLevel="3" x14ac:dyDescent="0.25">
      <c r="A412" s="10" t="s">
        <v>10</v>
      </c>
      <c r="B412" s="87">
        <v>676998</v>
      </c>
      <c r="C412" s="87">
        <v>564165</v>
      </c>
      <c r="D412" s="87">
        <v>564165</v>
      </c>
      <c r="E412" s="87">
        <v>514125.28</v>
      </c>
      <c r="F412" s="92">
        <f t="shared" si="25"/>
        <v>1</v>
      </c>
      <c r="G412" s="92">
        <f t="shared" si="26"/>
        <v>0.83333333333333337</v>
      </c>
    </row>
    <row r="413" spans="1:7" s="78" customFormat="1" ht="15" customHeight="1" outlineLevel="2" x14ac:dyDescent="0.25">
      <c r="A413" s="8" t="s">
        <v>30</v>
      </c>
      <c r="B413" s="9">
        <v>4927422</v>
      </c>
      <c r="C413" s="9">
        <v>4106185</v>
      </c>
      <c r="D413" s="9">
        <v>4106185</v>
      </c>
      <c r="E413" s="9">
        <v>3401817.12</v>
      </c>
      <c r="F413" s="16">
        <f t="shared" ref="F413:F468" si="27">D413/C413</f>
        <v>1</v>
      </c>
      <c r="G413" s="16">
        <f t="shared" ref="G413:G468" si="28">D413/B413</f>
        <v>0.83333333333333337</v>
      </c>
    </row>
    <row r="414" spans="1:7" ht="14.25" customHeight="1" outlineLevel="3" x14ac:dyDescent="0.25">
      <c r="A414" s="10" t="s">
        <v>9</v>
      </c>
      <c r="B414" s="87">
        <v>4038870</v>
      </c>
      <c r="C414" s="87">
        <v>3365725</v>
      </c>
      <c r="D414" s="87">
        <v>3365725</v>
      </c>
      <c r="E414" s="87">
        <v>2788374.7</v>
      </c>
      <c r="F414" s="92">
        <f t="shared" si="27"/>
        <v>1</v>
      </c>
      <c r="G414" s="92">
        <f t="shared" si="28"/>
        <v>0.83333333333333337</v>
      </c>
    </row>
    <row r="415" spans="1:7" ht="14.25" customHeight="1" outlineLevel="3" x14ac:dyDescent="0.25">
      <c r="A415" s="10" t="s">
        <v>10</v>
      </c>
      <c r="B415" s="87">
        <v>888552</v>
      </c>
      <c r="C415" s="87">
        <v>740460</v>
      </c>
      <c r="D415" s="87">
        <v>740460</v>
      </c>
      <c r="E415" s="87">
        <v>613442.42000000004</v>
      </c>
      <c r="F415" s="92">
        <f t="shared" si="27"/>
        <v>1</v>
      </c>
      <c r="G415" s="92">
        <f t="shared" si="28"/>
        <v>0.83333333333333337</v>
      </c>
    </row>
    <row r="416" spans="1:7" s="78" customFormat="1" ht="14.25" customHeight="1" outlineLevel="2" x14ac:dyDescent="0.25">
      <c r="A416" s="8" t="s">
        <v>35</v>
      </c>
      <c r="B416" s="9">
        <v>2221986</v>
      </c>
      <c r="C416" s="9">
        <v>1851655</v>
      </c>
      <c r="D416" s="9">
        <v>1851655</v>
      </c>
      <c r="E416" s="9">
        <v>1770818.34</v>
      </c>
      <c r="F416" s="16">
        <f t="shared" si="27"/>
        <v>1</v>
      </c>
      <c r="G416" s="16">
        <f t="shared" si="28"/>
        <v>0.83333333333333337</v>
      </c>
    </row>
    <row r="417" spans="1:7" ht="14.25" customHeight="1" outlineLevel="3" x14ac:dyDescent="0.25">
      <c r="A417" s="10" t="s">
        <v>9</v>
      </c>
      <c r="B417" s="87">
        <v>1821300</v>
      </c>
      <c r="C417" s="87">
        <v>1517750</v>
      </c>
      <c r="D417" s="87">
        <v>1517750</v>
      </c>
      <c r="E417" s="87">
        <v>1451490.45</v>
      </c>
      <c r="F417" s="92">
        <f t="shared" si="27"/>
        <v>1</v>
      </c>
      <c r="G417" s="92">
        <f t="shared" si="28"/>
        <v>0.83333333333333337</v>
      </c>
    </row>
    <row r="418" spans="1:7" ht="14.25" customHeight="1" outlineLevel="3" x14ac:dyDescent="0.25">
      <c r="A418" s="10" t="s">
        <v>10</v>
      </c>
      <c r="B418" s="87">
        <v>400686</v>
      </c>
      <c r="C418" s="87">
        <v>333905</v>
      </c>
      <c r="D418" s="87">
        <v>333905</v>
      </c>
      <c r="E418" s="87">
        <v>319327.89</v>
      </c>
      <c r="F418" s="92">
        <f t="shared" si="27"/>
        <v>1</v>
      </c>
      <c r="G418" s="92">
        <f t="shared" si="28"/>
        <v>0.83333333333333337</v>
      </c>
    </row>
    <row r="419" spans="1:7" s="78" customFormat="1" ht="24" outlineLevel="2" x14ac:dyDescent="0.25">
      <c r="A419" s="8" t="s">
        <v>23</v>
      </c>
      <c r="B419" s="9">
        <v>69890011</v>
      </c>
      <c r="C419" s="9">
        <v>58241685</v>
      </c>
      <c r="D419" s="9">
        <v>58241685</v>
      </c>
      <c r="E419" s="9">
        <v>50497195.829999998</v>
      </c>
      <c r="F419" s="16">
        <f t="shared" si="27"/>
        <v>1</v>
      </c>
      <c r="G419" s="16">
        <f t="shared" si="28"/>
        <v>0.83333346449179979</v>
      </c>
    </row>
    <row r="420" spans="1:7" ht="13.5" customHeight="1" outlineLevel="3" x14ac:dyDescent="0.25">
      <c r="A420" s="10" t="s">
        <v>9</v>
      </c>
      <c r="B420" s="87">
        <v>57286893</v>
      </c>
      <c r="C420" s="87">
        <v>47739085</v>
      </c>
      <c r="D420" s="87">
        <v>47739085</v>
      </c>
      <c r="E420" s="87">
        <v>41391144.130000003</v>
      </c>
      <c r="F420" s="92">
        <f t="shared" si="27"/>
        <v>1</v>
      </c>
      <c r="G420" s="92">
        <f t="shared" si="28"/>
        <v>0.83333346425333277</v>
      </c>
    </row>
    <row r="421" spans="1:7" ht="13.5" customHeight="1" outlineLevel="3" x14ac:dyDescent="0.25">
      <c r="A421" s="10" t="s">
        <v>10</v>
      </c>
      <c r="B421" s="87">
        <v>12603118</v>
      </c>
      <c r="C421" s="87">
        <v>10502600</v>
      </c>
      <c r="D421" s="87">
        <v>10502600</v>
      </c>
      <c r="E421" s="87">
        <v>9106051.6999999993</v>
      </c>
      <c r="F421" s="92">
        <f t="shared" si="27"/>
        <v>1</v>
      </c>
      <c r="G421" s="92">
        <f t="shared" si="28"/>
        <v>0.83333346557574084</v>
      </c>
    </row>
    <row r="422" spans="1:7" s="78" customFormat="1" ht="13.5" customHeight="1" outlineLevel="2" x14ac:dyDescent="0.25">
      <c r="A422" s="8" t="s">
        <v>36</v>
      </c>
      <c r="B422" s="9">
        <v>4536084</v>
      </c>
      <c r="C422" s="9">
        <v>3780070</v>
      </c>
      <c r="D422" s="9">
        <v>3780070</v>
      </c>
      <c r="E422" s="9">
        <v>3166843.76</v>
      </c>
      <c r="F422" s="16">
        <f t="shared" si="27"/>
        <v>1</v>
      </c>
      <c r="G422" s="16">
        <f t="shared" si="28"/>
        <v>0.83333333333333337</v>
      </c>
    </row>
    <row r="423" spans="1:7" ht="13.5" customHeight="1" outlineLevel="3" x14ac:dyDescent="0.25">
      <c r="A423" s="10" t="s">
        <v>9</v>
      </c>
      <c r="B423" s="87">
        <v>3718104</v>
      </c>
      <c r="C423" s="87">
        <v>3098420</v>
      </c>
      <c r="D423" s="87">
        <v>3098420</v>
      </c>
      <c r="E423" s="87">
        <v>2595773.56</v>
      </c>
      <c r="F423" s="92">
        <f t="shared" si="27"/>
        <v>1</v>
      </c>
      <c r="G423" s="92">
        <f t="shared" si="28"/>
        <v>0.83333333333333337</v>
      </c>
    </row>
    <row r="424" spans="1:7" ht="13.5" customHeight="1" outlineLevel="3" x14ac:dyDescent="0.25">
      <c r="A424" s="10" t="s">
        <v>10</v>
      </c>
      <c r="B424" s="87">
        <v>817980</v>
      </c>
      <c r="C424" s="87">
        <v>681650</v>
      </c>
      <c r="D424" s="87">
        <v>681650</v>
      </c>
      <c r="E424" s="87">
        <v>571070.19999999995</v>
      </c>
      <c r="F424" s="92">
        <f t="shared" si="27"/>
        <v>1</v>
      </c>
      <c r="G424" s="92">
        <f t="shared" si="28"/>
        <v>0.83333333333333337</v>
      </c>
    </row>
    <row r="425" spans="1:7" ht="40.5" customHeight="1" outlineLevel="1" x14ac:dyDescent="0.25">
      <c r="A425" s="28" t="s">
        <v>93</v>
      </c>
      <c r="B425" s="93">
        <v>46361299</v>
      </c>
      <c r="C425" s="93">
        <v>46361299</v>
      </c>
      <c r="D425" s="93">
        <v>46361299</v>
      </c>
      <c r="E425" s="93">
        <v>13231015.130000001</v>
      </c>
      <c r="F425" s="94">
        <f t="shared" si="27"/>
        <v>1</v>
      </c>
      <c r="G425" s="94">
        <f t="shared" si="28"/>
        <v>1</v>
      </c>
    </row>
    <row r="426" spans="1:7" s="78" customFormat="1" ht="14.25" customHeight="1" outlineLevel="2" x14ac:dyDescent="0.25">
      <c r="A426" s="8" t="s">
        <v>28</v>
      </c>
      <c r="B426" s="9">
        <v>1579050</v>
      </c>
      <c r="C426" s="9">
        <v>1579050</v>
      </c>
      <c r="D426" s="9">
        <v>1579050</v>
      </c>
      <c r="E426" s="9">
        <v>1577694.39</v>
      </c>
      <c r="F426" s="16">
        <f t="shared" si="27"/>
        <v>1</v>
      </c>
      <c r="G426" s="16">
        <f t="shared" si="28"/>
        <v>1</v>
      </c>
    </row>
    <row r="427" spans="1:7" ht="14.25" customHeight="1" outlineLevel="3" x14ac:dyDescent="0.25">
      <c r="A427" s="10" t="s">
        <v>34</v>
      </c>
      <c r="B427" s="87">
        <v>1579050</v>
      </c>
      <c r="C427" s="87">
        <v>1579050</v>
      </c>
      <c r="D427" s="87">
        <v>1579050</v>
      </c>
      <c r="E427" s="87">
        <v>1577694.39</v>
      </c>
      <c r="F427" s="92">
        <f t="shared" si="27"/>
        <v>1</v>
      </c>
      <c r="G427" s="92">
        <f t="shared" si="28"/>
        <v>1</v>
      </c>
    </row>
    <row r="428" spans="1:7" s="78" customFormat="1" ht="14.25" customHeight="1" outlineLevel="2" x14ac:dyDescent="0.25">
      <c r="A428" s="8" t="s">
        <v>33</v>
      </c>
      <c r="B428" s="9">
        <v>2314200</v>
      </c>
      <c r="C428" s="9">
        <v>2314200</v>
      </c>
      <c r="D428" s="9">
        <v>2314200</v>
      </c>
      <c r="E428" s="9">
        <v>364700</v>
      </c>
      <c r="F428" s="16">
        <f t="shared" si="27"/>
        <v>1</v>
      </c>
      <c r="G428" s="16">
        <f t="shared" si="28"/>
        <v>1</v>
      </c>
    </row>
    <row r="429" spans="1:7" ht="14.25" customHeight="1" outlineLevel="3" x14ac:dyDescent="0.25">
      <c r="A429" s="10" t="s">
        <v>34</v>
      </c>
      <c r="B429" s="87">
        <v>2314200</v>
      </c>
      <c r="C429" s="87">
        <v>2314200</v>
      </c>
      <c r="D429" s="87">
        <v>2314200</v>
      </c>
      <c r="E429" s="87">
        <v>364700</v>
      </c>
      <c r="F429" s="92">
        <f t="shared" si="27"/>
        <v>1</v>
      </c>
      <c r="G429" s="92">
        <f t="shared" si="28"/>
        <v>1</v>
      </c>
    </row>
    <row r="430" spans="1:7" s="78" customFormat="1" ht="14.25" customHeight="1" outlineLevel="2" x14ac:dyDescent="0.25">
      <c r="A430" s="8" t="s">
        <v>30</v>
      </c>
      <c r="B430" s="9">
        <v>2475150</v>
      </c>
      <c r="C430" s="9">
        <v>2475150</v>
      </c>
      <c r="D430" s="9">
        <v>2475150</v>
      </c>
      <c r="E430" s="9">
        <v>1694038.02</v>
      </c>
      <c r="F430" s="16">
        <f t="shared" si="27"/>
        <v>1</v>
      </c>
      <c r="G430" s="16">
        <f t="shared" si="28"/>
        <v>1</v>
      </c>
    </row>
    <row r="431" spans="1:7" ht="14.25" customHeight="1" outlineLevel="3" x14ac:dyDescent="0.25">
      <c r="A431" s="10" t="s">
        <v>34</v>
      </c>
      <c r="B431" s="87">
        <v>2475150</v>
      </c>
      <c r="C431" s="87">
        <v>2475150</v>
      </c>
      <c r="D431" s="87">
        <v>2475150</v>
      </c>
      <c r="E431" s="87">
        <v>1694038.02</v>
      </c>
      <c r="F431" s="92">
        <f t="shared" si="27"/>
        <v>1</v>
      </c>
      <c r="G431" s="92">
        <f t="shared" si="28"/>
        <v>1</v>
      </c>
    </row>
    <row r="432" spans="1:7" s="78" customFormat="1" ht="14.25" customHeight="1" outlineLevel="2" x14ac:dyDescent="0.25">
      <c r="A432" s="8" t="s">
        <v>35</v>
      </c>
      <c r="B432" s="9">
        <v>1653000</v>
      </c>
      <c r="C432" s="9">
        <v>1653000</v>
      </c>
      <c r="D432" s="9">
        <v>1653000</v>
      </c>
      <c r="E432" s="9">
        <v>1102900</v>
      </c>
      <c r="F432" s="16">
        <f t="shared" si="27"/>
        <v>1</v>
      </c>
      <c r="G432" s="16">
        <f t="shared" si="28"/>
        <v>1</v>
      </c>
    </row>
    <row r="433" spans="1:7" ht="14.25" customHeight="1" outlineLevel="3" x14ac:dyDescent="0.25">
      <c r="A433" s="10" t="s">
        <v>34</v>
      </c>
      <c r="B433" s="87">
        <v>1653000</v>
      </c>
      <c r="C433" s="87">
        <v>1653000</v>
      </c>
      <c r="D433" s="87">
        <v>1653000</v>
      </c>
      <c r="E433" s="87">
        <v>1102900</v>
      </c>
      <c r="F433" s="92">
        <f t="shared" si="27"/>
        <v>1</v>
      </c>
      <c r="G433" s="92">
        <f t="shared" si="28"/>
        <v>1</v>
      </c>
    </row>
    <row r="434" spans="1:7" s="78" customFormat="1" ht="28.5" customHeight="1" outlineLevel="2" x14ac:dyDescent="0.25">
      <c r="A434" s="8" t="s">
        <v>23</v>
      </c>
      <c r="B434" s="9">
        <v>37304599</v>
      </c>
      <c r="C434" s="9">
        <v>37304599</v>
      </c>
      <c r="D434" s="9">
        <v>37304599</v>
      </c>
      <c r="E434" s="9">
        <v>7796031.6799999997</v>
      </c>
      <c r="F434" s="16">
        <f t="shared" si="27"/>
        <v>1</v>
      </c>
      <c r="G434" s="16">
        <f t="shared" si="28"/>
        <v>1</v>
      </c>
    </row>
    <row r="435" spans="1:7" ht="12.75" customHeight="1" outlineLevel="3" x14ac:dyDescent="0.25">
      <c r="A435" s="10" t="s">
        <v>34</v>
      </c>
      <c r="B435" s="87">
        <v>37304599</v>
      </c>
      <c r="C435" s="87">
        <v>37304599</v>
      </c>
      <c r="D435" s="87">
        <v>37304599</v>
      </c>
      <c r="E435" s="87">
        <v>7796031.6799999997</v>
      </c>
      <c r="F435" s="92">
        <f t="shared" si="27"/>
        <v>1</v>
      </c>
      <c r="G435" s="92">
        <f t="shared" si="28"/>
        <v>1</v>
      </c>
    </row>
    <row r="436" spans="1:7" s="78" customFormat="1" ht="12.75" customHeight="1" outlineLevel="2" x14ac:dyDescent="0.25">
      <c r="A436" s="8" t="s">
        <v>36</v>
      </c>
      <c r="B436" s="9">
        <v>1035300</v>
      </c>
      <c r="C436" s="9">
        <v>1035300</v>
      </c>
      <c r="D436" s="9">
        <v>1035300</v>
      </c>
      <c r="E436" s="9">
        <v>695651.04</v>
      </c>
      <c r="F436" s="16">
        <f t="shared" si="27"/>
        <v>1</v>
      </c>
      <c r="G436" s="16">
        <f t="shared" si="28"/>
        <v>1</v>
      </c>
    </row>
    <row r="437" spans="1:7" ht="12.75" customHeight="1" outlineLevel="3" x14ac:dyDescent="0.25">
      <c r="A437" s="10" t="s">
        <v>34</v>
      </c>
      <c r="B437" s="87">
        <v>1035300</v>
      </c>
      <c r="C437" s="87">
        <v>1035300</v>
      </c>
      <c r="D437" s="87">
        <v>1035300</v>
      </c>
      <c r="E437" s="87">
        <v>695651.04</v>
      </c>
      <c r="F437" s="92">
        <f t="shared" si="27"/>
        <v>1</v>
      </c>
      <c r="G437" s="92">
        <f t="shared" si="28"/>
        <v>1</v>
      </c>
    </row>
    <row r="438" spans="1:7" s="27" customFormat="1" ht="21" customHeight="1" outlineLevel="3" x14ac:dyDescent="0.2">
      <c r="A438" s="24" t="s">
        <v>43</v>
      </c>
      <c r="B438" s="25">
        <f>B439+B453+B457+B468+B479+B482+B492</f>
        <v>116087543</v>
      </c>
      <c r="C438" s="25">
        <f t="shared" ref="C438:E438" si="29">C439+C453+C457+C468+C479+C482+C492</f>
        <v>45029681</v>
      </c>
      <c r="D438" s="25">
        <f t="shared" si="29"/>
        <v>39288866.350000001</v>
      </c>
      <c r="E438" s="25">
        <f t="shared" si="29"/>
        <v>39288866.350000001</v>
      </c>
      <c r="F438" s="26">
        <f t="shared" si="27"/>
        <v>0.87251043039811904</v>
      </c>
      <c r="G438" s="26">
        <f t="shared" si="28"/>
        <v>0.33844170816846386</v>
      </c>
    </row>
    <row r="439" spans="1:7" ht="27.75" customHeight="1" outlineLevel="1" x14ac:dyDescent="0.25">
      <c r="A439" s="28" t="s">
        <v>79</v>
      </c>
      <c r="B439" s="93">
        <v>58051076</v>
      </c>
      <c r="C439" s="93">
        <v>20982127</v>
      </c>
      <c r="D439" s="93">
        <v>18265156.710000001</v>
      </c>
      <c r="E439" s="93">
        <v>18265156.710000001</v>
      </c>
      <c r="F439" s="94">
        <f t="shared" si="27"/>
        <v>0.87051025427498374</v>
      </c>
      <c r="G439" s="94">
        <f t="shared" si="28"/>
        <v>0.31463941701959153</v>
      </c>
    </row>
    <row r="440" spans="1:7" s="78" customFormat="1" ht="24.75" customHeight="1" outlineLevel="2" x14ac:dyDescent="0.25">
      <c r="A440" s="8" t="s">
        <v>44</v>
      </c>
      <c r="B440" s="9">
        <v>58051076</v>
      </c>
      <c r="C440" s="9">
        <v>20982127</v>
      </c>
      <c r="D440" s="9">
        <v>18265156.710000001</v>
      </c>
      <c r="E440" s="9">
        <v>18265156.710000001</v>
      </c>
      <c r="F440" s="16">
        <f t="shared" si="27"/>
        <v>0.87051025427498374</v>
      </c>
      <c r="G440" s="16">
        <f t="shared" si="28"/>
        <v>0.31463941701959153</v>
      </c>
    </row>
    <row r="441" spans="1:7" ht="14.25" customHeight="1" outlineLevel="3" x14ac:dyDescent="0.25">
      <c r="A441" s="10" t="s">
        <v>9</v>
      </c>
      <c r="B441" s="87">
        <v>41791148</v>
      </c>
      <c r="C441" s="87">
        <v>14455000</v>
      </c>
      <c r="D441" s="87">
        <v>13509376.52</v>
      </c>
      <c r="E441" s="87">
        <v>13509376.52</v>
      </c>
      <c r="F441" s="92">
        <f t="shared" si="27"/>
        <v>0.93458156485645105</v>
      </c>
      <c r="G441" s="92">
        <f t="shared" si="28"/>
        <v>0.32325928256385777</v>
      </c>
    </row>
    <row r="442" spans="1:7" ht="14.25" customHeight="1" outlineLevel="3" x14ac:dyDescent="0.25">
      <c r="A442" s="10" t="s">
        <v>10</v>
      </c>
      <c r="B442" s="87">
        <v>9194039</v>
      </c>
      <c r="C442" s="87">
        <v>3180100</v>
      </c>
      <c r="D442" s="87">
        <v>2874040.18</v>
      </c>
      <c r="E442" s="87">
        <v>2874040.18</v>
      </c>
      <c r="F442" s="92">
        <f t="shared" si="27"/>
        <v>0.90375780006918027</v>
      </c>
      <c r="G442" s="92">
        <f t="shared" si="28"/>
        <v>0.31259821499560747</v>
      </c>
    </row>
    <row r="443" spans="1:7" ht="14.25" customHeight="1" outlineLevel="3" x14ac:dyDescent="0.25">
      <c r="A443" s="10" t="s">
        <v>11</v>
      </c>
      <c r="B443" s="87">
        <v>1524482</v>
      </c>
      <c r="C443" s="87">
        <v>620000</v>
      </c>
      <c r="D443" s="87">
        <v>503388.26</v>
      </c>
      <c r="E443" s="87">
        <v>503388.26</v>
      </c>
      <c r="F443" s="92">
        <f t="shared" si="27"/>
        <v>0.81191654838709681</v>
      </c>
      <c r="G443" s="92">
        <f t="shared" si="28"/>
        <v>0.33020282299167847</v>
      </c>
    </row>
    <row r="444" spans="1:7" ht="14.25" customHeight="1" outlineLevel="3" x14ac:dyDescent="0.25">
      <c r="A444" s="10" t="s">
        <v>29</v>
      </c>
      <c r="B444" s="87">
        <v>200000</v>
      </c>
      <c r="C444" s="87">
        <v>70000</v>
      </c>
      <c r="D444" s="87">
        <v>49991.95</v>
      </c>
      <c r="E444" s="87">
        <v>49991.95</v>
      </c>
      <c r="F444" s="92">
        <f t="shared" si="27"/>
        <v>0.71417071428571421</v>
      </c>
      <c r="G444" s="92">
        <f t="shared" si="28"/>
        <v>0.24995974999999998</v>
      </c>
    </row>
    <row r="445" spans="1:7" ht="14.25" customHeight="1" outlineLevel="3" x14ac:dyDescent="0.25">
      <c r="A445" s="10" t="s">
        <v>34</v>
      </c>
      <c r="B445" s="87">
        <v>1464502</v>
      </c>
      <c r="C445" s="87">
        <v>660402</v>
      </c>
      <c r="D445" s="87">
        <v>456392</v>
      </c>
      <c r="E445" s="87">
        <v>456392</v>
      </c>
      <c r="F445" s="92">
        <f t="shared" si="27"/>
        <v>0.69108209847941104</v>
      </c>
      <c r="G445" s="92">
        <f t="shared" si="28"/>
        <v>0.31163631050008811</v>
      </c>
    </row>
    <row r="446" spans="1:7" ht="14.25" customHeight="1" outlineLevel="3" x14ac:dyDescent="0.25">
      <c r="A446" s="10" t="s">
        <v>12</v>
      </c>
      <c r="B446" s="87">
        <v>951000</v>
      </c>
      <c r="C446" s="87">
        <v>532470</v>
      </c>
      <c r="D446" s="87">
        <v>179454.6</v>
      </c>
      <c r="E446" s="87">
        <v>179454.6</v>
      </c>
      <c r="F446" s="92">
        <f t="shared" si="27"/>
        <v>0.33702293086934476</v>
      </c>
      <c r="G446" s="92">
        <f t="shared" si="28"/>
        <v>0.18870094637223975</v>
      </c>
    </row>
    <row r="447" spans="1:7" ht="14.25" customHeight="1" outlineLevel="3" x14ac:dyDescent="0.25">
      <c r="A447" s="10" t="s">
        <v>13</v>
      </c>
      <c r="B447" s="87">
        <v>1731472</v>
      </c>
      <c r="C447" s="87">
        <v>973900</v>
      </c>
      <c r="D447" s="87">
        <v>504028.01</v>
      </c>
      <c r="E447" s="87">
        <v>504028.01</v>
      </c>
      <c r="F447" s="92">
        <f t="shared" si="27"/>
        <v>0.51753569154944046</v>
      </c>
      <c r="G447" s="92">
        <f t="shared" si="28"/>
        <v>0.29109798483602389</v>
      </c>
    </row>
    <row r="448" spans="1:7" ht="14.25" customHeight="1" outlineLevel="3" x14ac:dyDescent="0.25">
      <c r="A448" s="10" t="s">
        <v>14</v>
      </c>
      <c r="B448" s="87">
        <v>45812</v>
      </c>
      <c r="C448" s="87">
        <v>20250</v>
      </c>
      <c r="D448" s="87">
        <v>10978.57</v>
      </c>
      <c r="E448" s="87">
        <v>10978.57</v>
      </c>
      <c r="F448" s="92">
        <f t="shared" si="27"/>
        <v>0.54215160493827164</v>
      </c>
      <c r="G448" s="92">
        <f t="shared" si="28"/>
        <v>0.23964397974329868</v>
      </c>
    </row>
    <row r="449" spans="1:7" ht="14.25" customHeight="1" outlineLevel="3" x14ac:dyDescent="0.25">
      <c r="A449" s="10" t="s">
        <v>15</v>
      </c>
      <c r="B449" s="87">
        <v>688000</v>
      </c>
      <c r="C449" s="87">
        <v>293250</v>
      </c>
      <c r="D449" s="87">
        <v>166165.51999999999</v>
      </c>
      <c r="E449" s="87">
        <v>166165.51999999999</v>
      </c>
      <c r="F449" s="92">
        <f t="shared" si="27"/>
        <v>0.56663433930093776</v>
      </c>
      <c r="G449" s="92">
        <f t="shared" si="28"/>
        <v>0.24151965116279067</v>
      </c>
    </row>
    <row r="450" spans="1:7" ht="14.25" customHeight="1" outlineLevel="3" x14ac:dyDescent="0.25">
      <c r="A450" s="10" t="s">
        <v>26</v>
      </c>
      <c r="B450" s="87">
        <v>30621</v>
      </c>
      <c r="C450" s="87">
        <v>12755</v>
      </c>
      <c r="D450" s="87">
        <v>11341.1</v>
      </c>
      <c r="E450" s="87">
        <v>11341.1</v>
      </c>
      <c r="F450" s="92">
        <f t="shared" si="27"/>
        <v>0.88914935319482558</v>
      </c>
      <c r="G450" s="92">
        <f t="shared" si="28"/>
        <v>0.37037000751118515</v>
      </c>
    </row>
    <row r="451" spans="1:7" ht="25.5" customHeight="1" outlineLevel="3" x14ac:dyDescent="0.25">
      <c r="A451" s="10" t="s">
        <v>16</v>
      </c>
      <c r="B451" s="87">
        <v>30000</v>
      </c>
      <c r="C451" s="87">
        <v>14000</v>
      </c>
      <c r="D451" s="89"/>
      <c r="E451" s="89"/>
      <c r="F451" s="92">
        <f t="shared" si="27"/>
        <v>0</v>
      </c>
      <c r="G451" s="92">
        <f t="shared" si="28"/>
        <v>0</v>
      </c>
    </row>
    <row r="452" spans="1:7" ht="26.25" customHeight="1" outlineLevel="3" x14ac:dyDescent="0.25">
      <c r="A452" s="10" t="s">
        <v>56</v>
      </c>
      <c r="B452" s="87">
        <v>400000</v>
      </c>
      <c r="C452" s="87">
        <v>150000</v>
      </c>
      <c r="D452" s="89"/>
      <c r="E452" s="89"/>
      <c r="F452" s="92">
        <f t="shared" si="27"/>
        <v>0</v>
      </c>
      <c r="G452" s="92">
        <f t="shared" si="28"/>
        <v>0</v>
      </c>
    </row>
    <row r="453" spans="1:7" ht="39" customHeight="1" outlineLevel="1" x14ac:dyDescent="0.25">
      <c r="A453" s="28" t="s">
        <v>80</v>
      </c>
      <c r="B453" s="93">
        <v>681600</v>
      </c>
      <c r="C453" s="93">
        <v>681600</v>
      </c>
      <c r="D453" s="93">
        <v>25980</v>
      </c>
      <c r="E453" s="93">
        <v>25980</v>
      </c>
      <c r="F453" s="94">
        <f t="shared" si="27"/>
        <v>3.8116197183098589E-2</v>
      </c>
      <c r="G453" s="94">
        <f t="shared" si="28"/>
        <v>3.8116197183098589E-2</v>
      </c>
    </row>
    <row r="454" spans="1:7" s="78" customFormat="1" ht="16.5" customHeight="1" outlineLevel="2" x14ac:dyDescent="0.25">
      <c r="A454" s="8" t="s">
        <v>24</v>
      </c>
      <c r="B454" s="9">
        <v>681600</v>
      </c>
      <c r="C454" s="9">
        <v>681600</v>
      </c>
      <c r="D454" s="9">
        <v>25980</v>
      </c>
      <c r="E454" s="9">
        <v>25980</v>
      </c>
      <c r="F454" s="16">
        <f t="shared" si="27"/>
        <v>3.8116197183098589E-2</v>
      </c>
      <c r="G454" s="16">
        <f t="shared" si="28"/>
        <v>3.8116197183098589E-2</v>
      </c>
    </row>
    <row r="455" spans="1:7" ht="15.75" customHeight="1" outlineLevel="3" x14ac:dyDescent="0.25">
      <c r="A455" s="10" t="s">
        <v>11</v>
      </c>
      <c r="B455" s="87">
        <v>611600</v>
      </c>
      <c r="C455" s="87">
        <v>611600</v>
      </c>
      <c r="D455" s="87">
        <v>25980</v>
      </c>
      <c r="E455" s="87">
        <v>25980</v>
      </c>
      <c r="F455" s="92">
        <f t="shared" si="27"/>
        <v>4.2478744277305427E-2</v>
      </c>
      <c r="G455" s="92">
        <f t="shared" si="28"/>
        <v>4.2478744277305427E-2</v>
      </c>
    </row>
    <row r="456" spans="1:7" ht="15.75" customHeight="1" outlineLevel="3" x14ac:dyDescent="0.25">
      <c r="A456" s="10" t="s">
        <v>12</v>
      </c>
      <c r="B456" s="87">
        <v>70000</v>
      </c>
      <c r="C456" s="87">
        <v>70000</v>
      </c>
      <c r="D456" s="89"/>
      <c r="E456" s="89"/>
      <c r="F456" s="92">
        <f t="shared" si="27"/>
        <v>0</v>
      </c>
      <c r="G456" s="92">
        <f t="shared" si="28"/>
        <v>0</v>
      </c>
    </row>
    <row r="457" spans="1:7" ht="66" customHeight="1" outlineLevel="1" x14ac:dyDescent="0.25">
      <c r="A457" s="28" t="s">
        <v>81</v>
      </c>
      <c r="B457" s="93">
        <v>17023505</v>
      </c>
      <c r="C457" s="93">
        <f>C458</f>
        <v>6277795</v>
      </c>
      <c r="D457" s="93">
        <v>5986869.9199999999</v>
      </c>
      <c r="E457" s="93">
        <v>5986869.9199999999</v>
      </c>
      <c r="F457" s="94">
        <f t="shared" si="27"/>
        <v>0.95365807899111077</v>
      </c>
      <c r="G457" s="94">
        <f t="shared" si="28"/>
        <v>0.35168256595806796</v>
      </c>
    </row>
    <row r="458" spans="1:7" s="78" customFormat="1" ht="18" customHeight="1" outlineLevel="2" x14ac:dyDescent="0.25">
      <c r="A458" s="8" t="s">
        <v>45</v>
      </c>
      <c r="B458" s="9">
        <v>17023505</v>
      </c>
      <c r="C458" s="9">
        <f>SUM(C459:C467)</f>
        <v>6277795</v>
      </c>
      <c r="D458" s="9">
        <v>5986869.9199999999</v>
      </c>
      <c r="E458" s="9">
        <v>5986869.9199999999</v>
      </c>
      <c r="F458" s="16">
        <f t="shared" si="27"/>
        <v>0.95365807899111077</v>
      </c>
      <c r="G458" s="16">
        <f t="shared" si="28"/>
        <v>0.35168256595806796</v>
      </c>
    </row>
    <row r="459" spans="1:7" ht="15" customHeight="1" outlineLevel="3" x14ac:dyDescent="0.25">
      <c r="A459" s="10" t="s">
        <v>9</v>
      </c>
      <c r="B459" s="87">
        <v>13287300</v>
      </c>
      <c r="C459" s="87">
        <v>4791150</v>
      </c>
      <c r="D459" s="87">
        <v>4728922.5999999996</v>
      </c>
      <c r="E459" s="87">
        <v>4728922.5999999996</v>
      </c>
      <c r="F459" s="92">
        <f t="shared" si="27"/>
        <v>0.98701201172996034</v>
      </c>
      <c r="G459" s="92">
        <f t="shared" si="28"/>
        <v>0.35589793261234409</v>
      </c>
    </row>
    <row r="460" spans="1:7" ht="15" customHeight="1" outlineLevel="3" x14ac:dyDescent="0.25">
      <c r="A460" s="10" t="s">
        <v>10</v>
      </c>
      <c r="B460" s="87">
        <v>2923182</v>
      </c>
      <c r="C460" s="87">
        <v>1054050</v>
      </c>
      <c r="D460" s="87">
        <v>972801.5</v>
      </c>
      <c r="E460" s="87">
        <v>972801.5</v>
      </c>
      <c r="F460" s="92">
        <f t="shared" si="27"/>
        <v>0.92291779327356382</v>
      </c>
      <c r="G460" s="92">
        <f t="shared" si="28"/>
        <v>0.33278855028527132</v>
      </c>
    </row>
    <row r="461" spans="1:7" ht="15" customHeight="1" outlineLevel="3" x14ac:dyDescent="0.25">
      <c r="A461" s="10" t="s">
        <v>11</v>
      </c>
      <c r="B461" s="87">
        <v>115000</v>
      </c>
      <c r="C461" s="87">
        <v>69540</v>
      </c>
      <c r="D461" s="87">
        <v>24742.62</v>
      </c>
      <c r="E461" s="87">
        <v>24742.62</v>
      </c>
      <c r="F461" s="92">
        <f t="shared" si="27"/>
        <v>0.35580414150129419</v>
      </c>
      <c r="G461" s="92">
        <f t="shared" si="28"/>
        <v>0.21515321739130433</v>
      </c>
    </row>
    <row r="462" spans="1:7" ht="15" customHeight="1" outlineLevel="3" x14ac:dyDescent="0.25">
      <c r="A462" s="10" t="s">
        <v>12</v>
      </c>
      <c r="B462" s="87">
        <v>265850</v>
      </c>
      <c r="C462" s="87">
        <v>140864</v>
      </c>
      <c r="D462" s="87">
        <v>82458.05</v>
      </c>
      <c r="E462" s="87">
        <v>82458.05</v>
      </c>
      <c r="F462" s="92">
        <f t="shared" si="27"/>
        <v>0.58537348080417995</v>
      </c>
      <c r="G462" s="92">
        <f t="shared" si="28"/>
        <v>0.31016757570058306</v>
      </c>
    </row>
    <row r="463" spans="1:7" ht="15" customHeight="1" outlineLevel="3" x14ac:dyDescent="0.25">
      <c r="A463" s="10" t="s">
        <v>21</v>
      </c>
      <c r="B463" s="87">
        <v>19140</v>
      </c>
      <c r="C463" s="87">
        <v>6960</v>
      </c>
      <c r="D463" s="87">
        <v>6960</v>
      </c>
      <c r="E463" s="87">
        <v>6960</v>
      </c>
      <c r="F463" s="92">
        <f t="shared" si="27"/>
        <v>1</v>
      </c>
      <c r="G463" s="92">
        <f t="shared" si="28"/>
        <v>0.36363636363636365</v>
      </c>
    </row>
    <row r="464" spans="1:7" ht="15" customHeight="1" outlineLevel="3" x14ac:dyDescent="0.25">
      <c r="A464" s="10" t="s">
        <v>13</v>
      </c>
      <c r="B464" s="87">
        <v>186151</v>
      </c>
      <c r="C464" s="87">
        <v>119370</v>
      </c>
      <c r="D464" s="87">
        <v>94763.05</v>
      </c>
      <c r="E464" s="87">
        <v>94763.05</v>
      </c>
      <c r="F464" s="92">
        <f t="shared" si="27"/>
        <v>0.79385984753288097</v>
      </c>
      <c r="G464" s="92">
        <f t="shared" si="28"/>
        <v>0.50906548984426625</v>
      </c>
    </row>
    <row r="465" spans="1:7" ht="15" customHeight="1" outlineLevel="3" x14ac:dyDescent="0.25">
      <c r="A465" s="10" t="s">
        <v>14</v>
      </c>
      <c r="B465" s="87">
        <v>16135</v>
      </c>
      <c r="C465" s="87">
        <v>6725</v>
      </c>
      <c r="D465" s="87">
        <v>5854.48</v>
      </c>
      <c r="E465" s="87">
        <v>5854.48</v>
      </c>
      <c r="F465" s="92">
        <f t="shared" si="27"/>
        <v>0.8705546468401486</v>
      </c>
      <c r="G465" s="92">
        <f t="shared" si="28"/>
        <v>0.3628435079020762</v>
      </c>
    </row>
    <row r="466" spans="1:7" ht="15" customHeight="1" outlineLevel="3" x14ac:dyDescent="0.25">
      <c r="A466" s="10" t="s">
        <v>15</v>
      </c>
      <c r="B466" s="87">
        <v>200000</v>
      </c>
      <c r="C466" s="87">
        <v>84656</v>
      </c>
      <c r="D466" s="87">
        <v>65889.87</v>
      </c>
      <c r="E466" s="87">
        <v>65889.87</v>
      </c>
      <c r="F466" s="92">
        <f t="shared" si="27"/>
        <v>0.77832486769986764</v>
      </c>
      <c r="G466" s="92">
        <f t="shared" si="28"/>
        <v>0.32944934999999997</v>
      </c>
    </row>
    <row r="467" spans="1:7" ht="15" customHeight="1" outlineLevel="3" x14ac:dyDescent="0.25">
      <c r="A467" s="10" t="s">
        <v>26</v>
      </c>
      <c r="B467" s="87">
        <v>10747</v>
      </c>
      <c r="C467" s="87">
        <v>4480</v>
      </c>
      <c r="D467" s="87">
        <v>4477.75</v>
      </c>
      <c r="E467" s="87">
        <v>4477.75</v>
      </c>
      <c r="F467" s="92">
        <f t="shared" si="27"/>
        <v>0.99949776785714284</v>
      </c>
      <c r="G467" s="92">
        <f t="shared" si="28"/>
        <v>0.41665115846282685</v>
      </c>
    </row>
    <row r="468" spans="1:7" ht="26.1" customHeight="1" outlineLevel="1" x14ac:dyDescent="0.25">
      <c r="A468" s="28" t="s">
        <v>82</v>
      </c>
      <c r="B468" s="93">
        <v>26879625</v>
      </c>
      <c r="C468" s="93">
        <v>11673713</v>
      </c>
      <c r="D468" s="93">
        <v>9934937.9399999995</v>
      </c>
      <c r="E468" s="93">
        <v>9934937.9399999995</v>
      </c>
      <c r="F468" s="94">
        <f t="shared" si="27"/>
        <v>0.85105209799144454</v>
      </c>
      <c r="G468" s="94">
        <f t="shared" si="28"/>
        <v>0.36960850235075821</v>
      </c>
    </row>
    <row r="469" spans="1:7" s="78" customFormat="1" ht="24" customHeight="1" outlineLevel="2" x14ac:dyDescent="0.25">
      <c r="A469" s="8" t="s">
        <v>46</v>
      </c>
      <c r="B469" s="9">
        <v>26879625</v>
      </c>
      <c r="C469" s="9">
        <v>11673713</v>
      </c>
      <c r="D469" s="9">
        <v>9934937.9399999995</v>
      </c>
      <c r="E469" s="9">
        <v>9934937.9399999995</v>
      </c>
      <c r="F469" s="16">
        <f t="shared" ref="F469:F510" si="30">D469/C469</f>
        <v>0.85105209799144454</v>
      </c>
      <c r="G469" s="16">
        <f t="shared" ref="G469:G510" si="31">D469/B469</f>
        <v>0.36960850235075821</v>
      </c>
    </row>
    <row r="470" spans="1:7" ht="12.75" customHeight="1" outlineLevel="3" x14ac:dyDescent="0.25">
      <c r="A470" s="10" t="s">
        <v>9</v>
      </c>
      <c r="B470" s="87">
        <v>18153028</v>
      </c>
      <c r="C470" s="87">
        <v>7270000</v>
      </c>
      <c r="D470" s="87">
        <v>7175537.54</v>
      </c>
      <c r="E470" s="87">
        <v>7175537.54</v>
      </c>
      <c r="F470" s="92">
        <f t="shared" si="30"/>
        <v>0.98700653920220083</v>
      </c>
      <c r="G470" s="92">
        <f t="shared" si="31"/>
        <v>0.3952804755217697</v>
      </c>
    </row>
    <row r="471" spans="1:7" ht="12.75" customHeight="1" outlineLevel="3" x14ac:dyDescent="0.25">
      <c r="A471" s="10" t="s">
        <v>10</v>
      </c>
      <c r="B471" s="87">
        <v>3993666</v>
      </c>
      <c r="C471" s="87">
        <v>1599400</v>
      </c>
      <c r="D471" s="87">
        <v>1561847.24</v>
      </c>
      <c r="E471" s="87">
        <v>1561847.24</v>
      </c>
      <c r="F471" s="92">
        <f t="shared" si="30"/>
        <v>0.97652072027010128</v>
      </c>
      <c r="G471" s="92">
        <f t="shared" si="31"/>
        <v>0.39108108690110788</v>
      </c>
    </row>
    <row r="472" spans="1:7" ht="12.75" customHeight="1" outlineLevel="3" x14ac:dyDescent="0.25">
      <c r="A472" s="10" t="s">
        <v>11</v>
      </c>
      <c r="B472" s="87">
        <v>300000</v>
      </c>
      <c r="C472" s="87">
        <v>175000</v>
      </c>
      <c r="D472" s="87">
        <v>145685.66</v>
      </c>
      <c r="E472" s="87">
        <v>145685.66</v>
      </c>
      <c r="F472" s="92">
        <f t="shared" si="30"/>
        <v>0.83248948571428572</v>
      </c>
      <c r="G472" s="92">
        <f t="shared" si="31"/>
        <v>0.4856188666666667</v>
      </c>
    </row>
    <row r="473" spans="1:7" ht="12.75" customHeight="1" outlineLevel="3" x14ac:dyDescent="0.25">
      <c r="A473" s="10" t="s">
        <v>12</v>
      </c>
      <c r="B473" s="87">
        <v>1092213</v>
      </c>
      <c r="C473" s="87">
        <v>639900</v>
      </c>
      <c r="D473" s="87">
        <v>383108.98</v>
      </c>
      <c r="E473" s="87">
        <v>383108.98</v>
      </c>
      <c r="F473" s="92">
        <f t="shared" si="30"/>
        <v>0.59870132833255196</v>
      </c>
      <c r="G473" s="92">
        <f t="shared" si="31"/>
        <v>0.35076398101835449</v>
      </c>
    </row>
    <row r="474" spans="1:7" ht="12.75" customHeight="1" outlineLevel="3" x14ac:dyDescent="0.25">
      <c r="A474" s="10" t="s">
        <v>13</v>
      </c>
      <c r="B474" s="87">
        <v>2067768</v>
      </c>
      <c r="C474" s="87">
        <v>1360000</v>
      </c>
      <c r="D474" s="87">
        <v>403867.37</v>
      </c>
      <c r="E474" s="87">
        <v>403867.37</v>
      </c>
      <c r="F474" s="92">
        <f t="shared" si="30"/>
        <v>0.29696130147058825</v>
      </c>
      <c r="G474" s="92">
        <f t="shared" si="31"/>
        <v>0.19531561084222215</v>
      </c>
    </row>
    <row r="475" spans="1:7" ht="12.75" customHeight="1" outlineLevel="3" x14ac:dyDescent="0.25">
      <c r="A475" s="10" t="s">
        <v>14</v>
      </c>
      <c r="B475" s="87">
        <v>279037</v>
      </c>
      <c r="C475" s="87">
        <v>123000</v>
      </c>
      <c r="D475" s="87">
        <v>17853.59</v>
      </c>
      <c r="E475" s="87">
        <v>17853.59</v>
      </c>
      <c r="F475" s="92">
        <f t="shared" si="30"/>
        <v>0.14515113821138212</v>
      </c>
      <c r="G475" s="92">
        <f t="shared" si="31"/>
        <v>6.3982876822786944E-2</v>
      </c>
    </row>
    <row r="476" spans="1:7" ht="12.75" customHeight="1" outlineLevel="3" x14ac:dyDescent="0.25">
      <c r="A476" s="10" t="s">
        <v>15</v>
      </c>
      <c r="B476" s="87">
        <v>929857</v>
      </c>
      <c r="C476" s="87">
        <v>459857</v>
      </c>
      <c r="D476" s="87">
        <v>206418</v>
      </c>
      <c r="E476" s="87">
        <v>206418</v>
      </c>
      <c r="F476" s="92">
        <f t="shared" si="30"/>
        <v>0.4488743239746269</v>
      </c>
      <c r="G476" s="92">
        <f t="shared" si="31"/>
        <v>0.22198897249792171</v>
      </c>
    </row>
    <row r="477" spans="1:7" ht="12.75" customHeight="1" outlineLevel="3" x14ac:dyDescent="0.25">
      <c r="A477" s="10" t="s">
        <v>26</v>
      </c>
      <c r="B477" s="87">
        <v>53956</v>
      </c>
      <c r="C477" s="87">
        <v>36456</v>
      </c>
      <c r="D477" s="87">
        <v>32069.56</v>
      </c>
      <c r="E477" s="87">
        <v>32069.56</v>
      </c>
      <c r="F477" s="92">
        <f t="shared" si="30"/>
        <v>0.87967851656791751</v>
      </c>
      <c r="G477" s="92">
        <f t="shared" si="31"/>
        <v>0.59436503817925723</v>
      </c>
    </row>
    <row r="478" spans="1:7" ht="27.75" customHeight="1" outlineLevel="3" x14ac:dyDescent="0.25">
      <c r="A478" s="10" t="s">
        <v>16</v>
      </c>
      <c r="B478" s="87">
        <v>10100</v>
      </c>
      <c r="C478" s="87">
        <v>10100</v>
      </c>
      <c r="D478" s="87">
        <v>8550</v>
      </c>
      <c r="E478" s="87">
        <v>8550</v>
      </c>
      <c r="F478" s="92">
        <f t="shared" si="30"/>
        <v>0.84653465346534651</v>
      </c>
      <c r="G478" s="92">
        <f t="shared" si="31"/>
        <v>0.84653465346534651</v>
      </c>
    </row>
    <row r="479" spans="1:7" ht="26.1" customHeight="1" outlineLevel="1" x14ac:dyDescent="0.25">
      <c r="A479" s="28" t="s">
        <v>83</v>
      </c>
      <c r="B479" s="93">
        <v>66800</v>
      </c>
      <c r="C479" s="93">
        <v>9704</v>
      </c>
      <c r="D479" s="100"/>
      <c r="E479" s="100"/>
      <c r="F479" s="94">
        <f t="shared" si="30"/>
        <v>0</v>
      </c>
      <c r="G479" s="94">
        <f t="shared" si="31"/>
        <v>0</v>
      </c>
    </row>
    <row r="480" spans="1:7" s="78" customFormat="1" ht="28.5" customHeight="1" outlineLevel="2" x14ac:dyDescent="0.25">
      <c r="A480" s="8" t="s">
        <v>22</v>
      </c>
      <c r="B480" s="9">
        <v>66800</v>
      </c>
      <c r="C480" s="9">
        <v>9704</v>
      </c>
      <c r="D480" s="80"/>
      <c r="E480" s="80"/>
      <c r="F480" s="16">
        <f t="shared" si="30"/>
        <v>0</v>
      </c>
      <c r="G480" s="16">
        <f t="shared" si="31"/>
        <v>0</v>
      </c>
    </row>
    <row r="481" spans="1:7" ht="17.25" customHeight="1" outlineLevel="3" x14ac:dyDescent="0.25">
      <c r="A481" s="10" t="s">
        <v>11</v>
      </c>
      <c r="B481" s="87">
        <v>66800</v>
      </c>
      <c r="C481" s="87">
        <v>9704</v>
      </c>
      <c r="D481" s="89"/>
      <c r="E481" s="89"/>
      <c r="F481" s="92">
        <f t="shared" si="30"/>
        <v>0</v>
      </c>
      <c r="G481" s="92">
        <f t="shared" si="31"/>
        <v>0</v>
      </c>
    </row>
    <row r="482" spans="1:7" ht="39.75" customHeight="1" outlineLevel="1" x14ac:dyDescent="0.25">
      <c r="A482" s="28" t="s">
        <v>84</v>
      </c>
      <c r="B482" s="93">
        <v>13293937</v>
      </c>
      <c r="C482" s="93">
        <v>5365742</v>
      </c>
      <c r="D482" s="93">
        <v>5036921.78</v>
      </c>
      <c r="E482" s="93">
        <v>5036921.78</v>
      </c>
      <c r="F482" s="94">
        <f t="shared" si="30"/>
        <v>0.93871859288053738</v>
      </c>
      <c r="G482" s="94">
        <f t="shared" si="31"/>
        <v>0.37888864525234323</v>
      </c>
    </row>
    <row r="483" spans="1:7" s="78" customFormat="1" ht="25.5" customHeight="1" outlineLevel="2" x14ac:dyDescent="0.25">
      <c r="A483" s="8" t="s">
        <v>47</v>
      </c>
      <c r="B483" s="9">
        <v>13293937</v>
      </c>
      <c r="C483" s="9">
        <v>5365742</v>
      </c>
      <c r="D483" s="9">
        <v>5036921.78</v>
      </c>
      <c r="E483" s="9">
        <v>5036921.78</v>
      </c>
      <c r="F483" s="16">
        <f t="shared" si="30"/>
        <v>0.93871859288053738</v>
      </c>
      <c r="G483" s="16">
        <f t="shared" si="31"/>
        <v>0.37888864525234323</v>
      </c>
    </row>
    <row r="484" spans="1:7" ht="13.5" customHeight="1" outlineLevel="3" x14ac:dyDescent="0.25">
      <c r="A484" s="10" t="s">
        <v>9</v>
      </c>
      <c r="B484" s="87">
        <v>9690952</v>
      </c>
      <c r="C484" s="87">
        <v>3894988</v>
      </c>
      <c r="D484" s="87">
        <v>3849375.26</v>
      </c>
      <c r="E484" s="87">
        <v>3849375.26</v>
      </c>
      <c r="F484" s="92">
        <f t="shared" si="30"/>
        <v>0.98828937598780786</v>
      </c>
      <c r="G484" s="92">
        <f t="shared" si="31"/>
        <v>0.39721332434625617</v>
      </c>
    </row>
    <row r="485" spans="1:7" ht="13.5" customHeight="1" outlineLevel="3" x14ac:dyDescent="0.25">
      <c r="A485" s="10" t="s">
        <v>10</v>
      </c>
      <c r="B485" s="87">
        <v>2132019</v>
      </c>
      <c r="C485" s="87">
        <v>856899</v>
      </c>
      <c r="D485" s="87">
        <v>788768.01</v>
      </c>
      <c r="E485" s="87">
        <v>788768.01</v>
      </c>
      <c r="F485" s="92">
        <f t="shared" si="30"/>
        <v>0.92049122475344236</v>
      </c>
      <c r="G485" s="92">
        <f t="shared" si="31"/>
        <v>0.36996293654043422</v>
      </c>
    </row>
    <row r="486" spans="1:7" ht="13.5" customHeight="1" outlineLevel="3" x14ac:dyDescent="0.25">
      <c r="A486" s="10" t="s">
        <v>11</v>
      </c>
      <c r="B486" s="87">
        <v>100006</v>
      </c>
      <c r="C486" s="87">
        <v>28000</v>
      </c>
      <c r="D486" s="87">
        <v>6300</v>
      </c>
      <c r="E486" s="87">
        <v>6300</v>
      </c>
      <c r="F486" s="92">
        <f t="shared" si="30"/>
        <v>0.22500000000000001</v>
      </c>
      <c r="G486" s="92">
        <f t="shared" si="31"/>
        <v>6.2996220226786387E-2</v>
      </c>
    </row>
    <row r="487" spans="1:7" ht="13.5" customHeight="1" outlineLevel="3" x14ac:dyDescent="0.25">
      <c r="A487" s="10" t="s">
        <v>12</v>
      </c>
      <c r="B487" s="87">
        <v>895000</v>
      </c>
      <c r="C487" s="87">
        <v>372800</v>
      </c>
      <c r="D487" s="87">
        <v>287115.8</v>
      </c>
      <c r="E487" s="87">
        <v>287115.8</v>
      </c>
      <c r="F487" s="92">
        <f t="shared" si="30"/>
        <v>0.7701604077253219</v>
      </c>
      <c r="G487" s="92">
        <f t="shared" si="31"/>
        <v>0.32079977653631281</v>
      </c>
    </row>
    <row r="488" spans="1:7" ht="13.5" customHeight="1" outlineLevel="3" x14ac:dyDescent="0.25">
      <c r="A488" s="10" t="s">
        <v>13</v>
      </c>
      <c r="B488" s="87">
        <v>215016</v>
      </c>
      <c r="C488" s="87">
        <v>101600</v>
      </c>
      <c r="D488" s="87">
        <v>1973.63</v>
      </c>
      <c r="E488" s="87">
        <v>1973.63</v>
      </c>
      <c r="F488" s="92">
        <f t="shared" si="30"/>
        <v>1.9425492125984253E-2</v>
      </c>
      <c r="G488" s="92">
        <f t="shared" si="31"/>
        <v>9.1789913308777029E-3</v>
      </c>
    </row>
    <row r="489" spans="1:7" ht="13.5" customHeight="1" outlineLevel="3" x14ac:dyDescent="0.25">
      <c r="A489" s="10" t="s">
        <v>14</v>
      </c>
      <c r="B489" s="87">
        <v>27989</v>
      </c>
      <c r="C489" s="87">
        <v>11500</v>
      </c>
      <c r="D489" s="87">
        <v>11500</v>
      </c>
      <c r="E489" s="87">
        <v>11500</v>
      </c>
      <c r="F489" s="92">
        <f t="shared" si="30"/>
        <v>1</v>
      </c>
      <c r="G489" s="92">
        <f t="shared" si="31"/>
        <v>0.41087570116831612</v>
      </c>
    </row>
    <row r="490" spans="1:7" ht="13.5" customHeight="1" outlineLevel="3" x14ac:dyDescent="0.25">
      <c r="A490" s="10" t="s">
        <v>15</v>
      </c>
      <c r="B490" s="87">
        <v>228000</v>
      </c>
      <c r="C490" s="87">
        <v>95000</v>
      </c>
      <c r="D490" s="87">
        <v>91889.08</v>
      </c>
      <c r="E490" s="87">
        <v>91889.08</v>
      </c>
      <c r="F490" s="92">
        <f t="shared" si="30"/>
        <v>0.96725347368421055</v>
      </c>
      <c r="G490" s="92">
        <f t="shared" si="31"/>
        <v>0.40302228070175439</v>
      </c>
    </row>
    <row r="491" spans="1:7" ht="27.75" customHeight="1" outlineLevel="3" x14ac:dyDescent="0.25">
      <c r="A491" s="10" t="s">
        <v>16</v>
      </c>
      <c r="B491" s="87">
        <v>4955</v>
      </c>
      <c r="C491" s="87">
        <v>4955</v>
      </c>
      <c r="D491" s="89"/>
      <c r="E491" s="89"/>
      <c r="F491" s="92">
        <f t="shared" si="30"/>
        <v>0</v>
      </c>
      <c r="G491" s="92">
        <f t="shared" si="31"/>
        <v>0</v>
      </c>
    </row>
    <row r="492" spans="1:7" ht="28.5" customHeight="1" outlineLevel="1" x14ac:dyDescent="0.25">
      <c r="A492" s="28" t="s">
        <v>124</v>
      </c>
      <c r="B492" s="93">
        <v>91000</v>
      </c>
      <c r="C492" s="93">
        <v>39000</v>
      </c>
      <c r="D492" s="93">
        <v>39000</v>
      </c>
      <c r="E492" s="93">
        <v>39000</v>
      </c>
      <c r="F492" s="94">
        <f t="shared" si="30"/>
        <v>1</v>
      </c>
      <c r="G492" s="94">
        <f t="shared" si="31"/>
        <v>0.42857142857142855</v>
      </c>
    </row>
    <row r="493" spans="1:7" s="78" customFormat="1" ht="24" customHeight="1" outlineLevel="2" x14ac:dyDescent="0.25">
      <c r="A493" s="8" t="s">
        <v>20</v>
      </c>
      <c r="B493" s="9">
        <v>91000</v>
      </c>
      <c r="C493" s="9">
        <v>39000</v>
      </c>
      <c r="D493" s="9">
        <v>39000</v>
      </c>
      <c r="E493" s="9">
        <v>39000</v>
      </c>
      <c r="F493" s="16">
        <f t="shared" si="30"/>
        <v>1</v>
      </c>
      <c r="G493" s="16">
        <f t="shared" si="31"/>
        <v>0.42857142857142855</v>
      </c>
    </row>
    <row r="494" spans="1:7" ht="15.75" customHeight="1" outlineLevel="3" x14ac:dyDescent="0.25">
      <c r="A494" s="10" t="s">
        <v>11</v>
      </c>
      <c r="B494" s="87">
        <v>91000</v>
      </c>
      <c r="C494" s="87">
        <v>39000</v>
      </c>
      <c r="D494" s="87">
        <v>39000</v>
      </c>
      <c r="E494" s="87">
        <v>39000</v>
      </c>
      <c r="F494" s="92">
        <f t="shared" si="30"/>
        <v>1</v>
      </c>
      <c r="G494" s="92">
        <f t="shared" si="31"/>
        <v>0.42857142857142855</v>
      </c>
    </row>
    <row r="495" spans="1:7" ht="17.25" customHeight="1" outlineLevel="3" x14ac:dyDescent="0.25">
      <c r="A495" s="24" t="s">
        <v>48</v>
      </c>
      <c r="B495" s="25">
        <f>B496+B507+B517</f>
        <v>58815969</v>
      </c>
      <c r="C495" s="25">
        <f t="shared" ref="C495:E495" si="32">C496+C507+C517</f>
        <v>25580712</v>
      </c>
      <c r="D495" s="25">
        <f t="shared" si="32"/>
        <v>21851663.25</v>
      </c>
      <c r="E495" s="25">
        <f t="shared" si="32"/>
        <v>21851663.25</v>
      </c>
      <c r="F495" s="26">
        <f t="shared" si="30"/>
        <v>0.85422420024900014</v>
      </c>
      <c r="G495" s="26">
        <f t="shared" si="31"/>
        <v>0.37152602637559196</v>
      </c>
    </row>
    <row r="496" spans="1:7" ht="15.75" customHeight="1" outlineLevel="1" x14ac:dyDescent="0.25">
      <c r="A496" s="28" t="s">
        <v>86</v>
      </c>
      <c r="B496" s="93">
        <f>B497</f>
        <v>43464259</v>
      </c>
      <c r="C496" s="93">
        <f t="shared" ref="C496:E496" si="33">C497</f>
        <v>19050173</v>
      </c>
      <c r="D496" s="93">
        <f t="shared" si="33"/>
        <v>16350725.939999999</v>
      </c>
      <c r="E496" s="93">
        <f t="shared" si="33"/>
        <v>16350725.939999999</v>
      </c>
      <c r="F496" s="94">
        <f t="shared" si="30"/>
        <v>0.85829802910451258</v>
      </c>
      <c r="G496" s="94">
        <f t="shared" si="31"/>
        <v>0.37618784528225824</v>
      </c>
    </row>
    <row r="497" spans="1:7" s="78" customFormat="1" ht="27.75" customHeight="1" outlineLevel="2" x14ac:dyDescent="0.25">
      <c r="A497" s="8" t="s">
        <v>138</v>
      </c>
      <c r="B497" s="9">
        <f>SUM(B498:B506)</f>
        <v>43464259</v>
      </c>
      <c r="C497" s="9">
        <f>SUM(C498:C506)</f>
        <v>19050173</v>
      </c>
      <c r="D497" s="9">
        <v>16350725.939999999</v>
      </c>
      <c r="E497" s="9">
        <v>16350725.939999999</v>
      </c>
      <c r="F497" s="16">
        <f t="shared" si="30"/>
        <v>0.85829802910451258</v>
      </c>
      <c r="G497" s="16">
        <f t="shared" si="31"/>
        <v>0.37618784528225824</v>
      </c>
    </row>
    <row r="498" spans="1:7" ht="14.25" customHeight="1" outlineLevel="3" x14ac:dyDescent="0.25">
      <c r="A498" s="10" t="s">
        <v>9</v>
      </c>
      <c r="B498" s="87">
        <v>30066049</v>
      </c>
      <c r="C498" s="87">
        <v>12376049</v>
      </c>
      <c r="D498" s="87">
        <v>12340233.16</v>
      </c>
      <c r="E498" s="87">
        <v>12340233.16</v>
      </c>
      <c r="F498" s="92">
        <f t="shared" si="30"/>
        <v>0.9971060360216738</v>
      </c>
      <c r="G498" s="92">
        <f t="shared" si="31"/>
        <v>0.41043747251260049</v>
      </c>
    </row>
    <row r="499" spans="1:7" ht="14.25" customHeight="1" outlineLevel="3" x14ac:dyDescent="0.25">
      <c r="A499" s="10" t="s">
        <v>10</v>
      </c>
      <c r="B499" s="87">
        <v>6614531</v>
      </c>
      <c r="C499" s="87">
        <v>2722731</v>
      </c>
      <c r="D499" s="87">
        <v>2702067.07</v>
      </c>
      <c r="E499" s="87">
        <v>2702067.07</v>
      </c>
      <c r="F499" s="92">
        <f t="shared" si="30"/>
        <v>0.9924105870172264</v>
      </c>
      <c r="G499" s="92">
        <f t="shared" si="31"/>
        <v>0.40850471031128283</v>
      </c>
    </row>
    <row r="500" spans="1:7" ht="14.25" customHeight="1" outlineLevel="3" x14ac:dyDescent="0.25">
      <c r="A500" s="10" t="s">
        <v>11</v>
      </c>
      <c r="B500" s="87">
        <v>200000</v>
      </c>
      <c r="C500" s="87">
        <v>200000</v>
      </c>
      <c r="D500" s="87">
        <v>84058</v>
      </c>
      <c r="E500" s="87">
        <v>84058</v>
      </c>
      <c r="F500" s="92">
        <f t="shared" si="30"/>
        <v>0.42029</v>
      </c>
      <c r="G500" s="92">
        <f t="shared" si="31"/>
        <v>0.42029</v>
      </c>
    </row>
    <row r="501" spans="1:7" ht="14.25" customHeight="1" outlineLevel="3" x14ac:dyDescent="0.25">
      <c r="A501" s="10" t="s">
        <v>12</v>
      </c>
      <c r="B501" s="87">
        <v>1700000</v>
      </c>
      <c r="C501" s="87">
        <v>600000</v>
      </c>
      <c r="D501" s="87">
        <v>480838.73</v>
      </c>
      <c r="E501" s="87">
        <v>480838.73</v>
      </c>
      <c r="F501" s="92">
        <f t="shared" si="30"/>
        <v>0.80139788333333328</v>
      </c>
      <c r="G501" s="92">
        <f t="shared" si="31"/>
        <v>0.28284631176470587</v>
      </c>
    </row>
    <row r="502" spans="1:7" ht="14.25" customHeight="1" outlineLevel="3" x14ac:dyDescent="0.25">
      <c r="A502" s="10" t="s">
        <v>13</v>
      </c>
      <c r="B502" s="87">
        <v>2693715</v>
      </c>
      <c r="C502" s="87">
        <v>1488577</v>
      </c>
      <c r="D502" s="87">
        <v>523731.53</v>
      </c>
      <c r="E502" s="87">
        <v>523731.53</v>
      </c>
      <c r="F502" s="92">
        <f t="shared" si="30"/>
        <v>0.35183368411576965</v>
      </c>
      <c r="G502" s="92">
        <f t="shared" si="31"/>
        <v>0.19442722411242466</v>
      </c>
    </row>
    <row r="503" spans="1:7" ht="14.25" customHeight="1" outlineLevel="3" x14ac:dyDescent="0.25">
      <c r="A503" s="10" t="s">
        <v>14</v>
      </c>
      <c r="B503" s="87">
        <v>74803</v>
      </c>
      <c r="C503" s="87">
        <v>31335</v>
      </c>
      <c r="D503" s="87">
        <v>21308.55</v>
      </c>
      <c r="E503" s="87">
        <v>21308.55</v>
      </c>
      <c r="F503" s="92">
        <f t="shared" si="30"/>
        <v>0.68002393489707991</v>
      </c>
      <c r="G503" s="92">
        <f t="shared" si="31"/>
        <v>0.28486223814552891</v>
      </c>
    </row>
    <row r="504" spans="1:7" ht="14.25" customHeight="1" outlineLevel="3" x14ac:dyDescent="0.25">
      <c r="A504" s="10" t="s">
        <v>15</v>
      </c>
      <c r="B504" s="87">
        <v>770161</v>
      </c>
      <c r="C504" s="87">
        <v>312741</v>
      </c>
      <c r="D504" s="87">
        <v>183421.1</v>
      </c>
      <c r="E504" s="87">
        <v>183421.1</v>
      </c>
      <c r="F504" s="92">
        <f t="shared" si="30"/>
        <v>0.58649521489027667</v>
      </c>
      <c r="G504" s="92">
        <f t="shared" si="31"/>
        <v>0.23815942380878805</v>
      </c>
    </row>
    <row r="505" spans="1:7" ht="14.25" customHeight="1" outlineLevel="3" x14ac:dyDescent="0.25">
      <c r="A505" s="10" t="s">
        <v>26</v>
      </c>
      <c r="B505" s="87">
        <v>45000</v>
      </c>
      <c r="C505" s="87">
        <v>18740</v>
      </c>
      <c r="D505" s="87">
        <v>15067.8</v>
      </c>
      <c r="E505" s="87">
        <v>15067.8</v>
      </c>
      <c r="F505" s="92">
        <f t="shared" si="30"/>
        <v>0.80404482390608323</v>
      </c>
      <c r="G505" s="92">
        <f t="shared" si="31"/>
        <v>0.33483999999999997</v>
      </c>
    </row>
    <row r="506" spans="1:7" ht="14.25" customHeight="1" outlineLevel="3" x14ac:dyDescent="0.25">
      <c r="A506" s="10" t="s">
        <v>57</v>
      </c>
      <c r="B506" s="87">
        <v>1300000</v>
      </c>
      <c r="C506" s="87">
        <v>1300000</v>
      </c>
      <c r="D506" s="89"/>
      <c r="E506" s="89"/>
      <c r="F506" s="92">
        <f t="shared" si="30"/>
        <v>0</v>
      </c>
      <c r="G506" s="92">
        <f t="shared" si="31"/>
        <v>0</v>
      </c>
    </row>
    <row r="507" spans="1:7" ht="26.1" customHeight="1" outlineLevel="1" x14ac:dyDescent="0.25">
      <c r="A507" s="28" t="s">
        <v>87</v>
      </c>
      <c r="B507" s="93">
        <f>B508</f>
        <v>10907467</v>
      </c>
      <c r="C507" s="93">
        <f t="shared" ref="C507:E507" si="34">C508</f>
        <v>4717810</v>
      </c>
      <c r="D507" s="93">
        <f t="shared" si="34"/>
        <v>3782420.19</v>
      </c>
      <c r="E507" s="93">
        <f t="shared" si="34"/>
        <v>3782420.19</v>
      </c>
      <c r="F507" s="94">
        <f t="shared" si="30"/>
        <v>0.80173219989783395</v>
      </c>
      <c r="G507" s="94">
        <f t="shared" si="31"/>
        <v>0.34677347087091803</v>
      </c>
    </row>
    <row r="508" spans="1:7" s="78" customFormat="1" ht="27.75" customHeight="1" outlineLevel="2" x14ac:dyDescent="0.25">
      <c r="A508" s="8" t="s">
        <v>138</v>
      </c>
      <c r="B508" s="9">
        <v>10907467</v>
      </c>
      <c r="C508" s="9">
        <f>SUM(C509:C516)</f>
        <v>4717810</v>
      </c>
      <c r="D508" s="9">
        <v>3782420.19</v>
      </c>
      <c r="E508" s="9">
        <v>3782420.19</v>
      </c>
      <c r="F508" s="16">
        <f t="shared" si="30"/>
        <v>0.80173219989783395</v>
      </c>
      <c r="G508" s="16">
        <f t="shared" si="31"/>
        <v>0.34677347087091803</v>
      </c>
    </row>
    <row r="509" spans="1:7" ht="13.5" customHeight="1" outlineLevel="3" x14ac:dyDescent="0.25">
      <c r="A509" s="10" t="s">
        <v>9</v>
      </c>
      <c r="B509" s="87">
        <v>6413107</v>
      </c>
      <c r="C509" s="87">
        <v>2628000</v>
      </c>
      <c r="D509" s="87">
        <v>2608891.4500000002</v>
      </c>
      <c r="E509" s="87">
        <v>2608891.4500000002</v>
      </c>
      <c r="F509" s="92">
        <f t="shared" si="30"/>
        <v>0.99272886225266366</v>
      </c>
      <c r="G509" s="92">
        <f t="shared" si="31"/>
        <v>0.40680616275387266</v>
      </c>
    </row>
    <row r="510" spans="1:7" ht="13.5" customHeight="1" outlineLevel="3" x14ac:dyDescent="0.25">
      <c r="A510" s="10" t="s">
        <v>10</v>
      </c>
      <c r="B510" s="87">
        <v>1410883</v>
      </c>
      <c r="C510" s="87">
        <v>578160</v>
      </c>
      <c r="D510" s="87">
        <v>524592.61</v>
      </c>
      <c r="E510" s="87">
        <v>524592.61</v>
      </c>
      <c r="F510" s="92">
        <f t="shared" si="30"/>
        <v>0.90734850214473495</v>
      </c>
      <c r="G510" s="92">
        <f t="shared" si="31"/>
        <v>0.3718186483216539</v>
      </c>
    </row>
    <row r="511" spans="1:7" ht="13.5" customHeight="1" outlineLevel="3" x14ac:dyDescent="0.25">
      <c r="A511" s="10" t="s">
        <v>11</v>
      </c>
      <c r="B511" s="87">
        <v>400000</v>
      </c>
      <c r="C511" s="87">
        <v>400000</v>
      </c>
      <c r="D511" s="87">
        <v>43129.05</v>
      </c>
      <c r="E511" s="87">
        <v>43129.05</v>
      </c>
      <c r="F511" s="92">
        <f t="shared" ref="F511:F569" si="35">D511/C511</f>
        <v>0.10782262500000001</v>
      </c>
      <c r="G511" s="92">
        <f t="shared" ref="G511:G569" si="36">D511/B511</f>
        <v>0.10782262500000001</v>
      </c>
    </row>
    <row r="512" spans="1:7" ht="13.5" customHeight="1" outlineLevel="3" x14ac:dyDescent="0.25">
      <c r="A512" s="10" t="s">
        <v>12</v>
      </c>
      <c r="B512" s="87">
        <v>794664</v>
      </c>
      <c r="C512" s="87">
        <v>120000</v>
      </c>
      <c r="D512" s="87">
        <v>117892.46</v>
      </c>
      <c r="E512" s="87">
        <v>117892.46</v>
      </c>
      <c r="F512" s="92">
        <f t="shared" si="35"/>
        <v>0.98243716666666669</v>
      </c>
      <c r="G512" s="92">
        <f t="shared" si="36"/>
        <v>0.14835510354061593</v>
      </c>
    </row>
    <row r="513" spans="1:7" ht="13.5" customHeight="1" outlineLevel="3" x14ac:dyDescent="0.25">
      <c r="A513" s="10" t="s">
        <v>13</v>
      </c>
      <c r="B513" s="87">
        <v>1129002</v>
      </c>
      <c r="C513" s="87">
        <v>519484</v>
      </c>
      <c r="D513" s="87">
        <v>128558.11</v>
      </c>
      <c r="E513" s="87">
        <v>128558.11</v>
      </c>
      <c r="F513" s="92">
        <f t="shared" si="35"/>
        <v>0.24747270368288532</v>
      </c>
      <c r="G513" s="92">
        <f t="shared" si="36"/>
        <v>0.11386880625543622</v>
      </c>
    </row>
    <row r="514" spans="1:7" ht="13.5" customHeight="1" outlineLevel="3" x14ac:dyDescent="0.25">
      <c r="A514" s="10" t="s">
        <v>14</v>
      </c>
      <c r="B514" s="87">
        <v>85321</v>
      </c>
      <c r="C514" s="87">
        <v>45836</v>
      </c>
      <c r="D514" s="87">
        <v>14576.9</v>
      </c>
      <c r="E514" s="87">
        <v>14576.9</v>
      </c>
      <c r="F514" s="92">
        <f t="shared" si="35"/>
        <v>0.318022951391919</v>
      </c>
      <c r="G514" s="92">
        <f t="shared" si="36"/>
        <v>0.17084773971238029</v>
      </c>
    </row>
    <row r="515" spans="1:7" ht="13.5" customHeight="1" outlineLevel="3" x14ac:dyDescent="0.25">
      <c r="A515" s="10" t="s">
        <v>15</v>
      </c>
      <c r="B515" s="87">
        <v>654990</v>
      </c>
      <c r="C515" s="87">
        <v>418205</v>
      </c>
      <c r="D515" s="87">
        <v>340707.53</v>
      </c>
      <c r="E515" s="87">
        <v>340707.53</v>
      </c>
      <c r="F515" s="92">
        <f t="shared" si="35"/>
        <v>0.81469023564998033</v>
      </c>
      <c r="G515" s="92">
        <f t="shared" si="36"/>
        <v>0.52017210949785497</v>
      </c>
    </row>
    <row r="516" spans="1:7" ht="13.5" customHeight="1" outlineLevel="3" x14ac:dyDescent="0.25">
      <c r="A516" s="10" t="s">
        <v>26</v>
      </c>
      <c r="B516" s="87">
        <v>19500</v>
      </c>
      <c r="C516" s="87">
        <v>8125</v>
      </c>
      <c r="D516" s="87">
        <v>4072.08</v>
      </c>
      <c r="E516" s="87">
        <v>4072.08</v>
      </c>
      <c r="F516" s="92">
        <f t="shared" si="35"/>
        <v>0.50117907692307695</v>
      </c>
      <c r="G516" s="92">
        <f t="shared" si="36"/>
        <v>0.20882461538461539</v>
      </c>
    </row>
    <row r="517" spans="1:7" ht="27" customHeight="1" outlineLevel="1" x14ac:dyDescent="0.25">
      <c r="A517" s="28" t="s">
        <v>88</v>
      </c>
      <c r="B517" s="93">
        <v>4444243</v>
      </c>
      <c r="C517" s="93">
        <f>C518</f>
        <v>1812729</v>
      </c>
      <c r="D517" s="93">
        <v>1718517.12</v>
      </c>
      <c r="E517" s="93">
        <v>1718517.12</v>
      </c>
      <c r="F517" s="94">
        <f t="shared" si="35"/>
        <v>0.94802759816828663</v>
      </c>
      <c r="G517" s="94">
        <f t="shared" si="36"/>
        <v>0.38668387844679064</v>
      </c>
    </row>
    <row r="518" spans="1:7" s="78" customFormat="1" ht="27.75" customHeight="1" outlineLevel="2" x14ac:dyDescent="0.25">
      <c r="A518" s="8" t="s">
        <v>138</v>
      </c>
      <c r="B518" s="9">
        <v>4444243</v>
      </c>
      <c r="C518" s="9">
        <f>SUM(C519:C526)</f>
        <v>1812729</v>
      </c>
      <c r="D518" s="9">
        <v>1718517.12</v>
      </c>
      <c r="E518" s="9">
        <v>1718517.12</v>
      </c>
      <c r="F518" s="16">
        <f t="shared" si="35"/>
        <v>0.94802759816828663</v>
      </c>
      <c r="G518" s="16">
        <f t="shared" si="36"/>
        <v>0.38668387844679064</v>
      </c>
    </row>
    <row r="519" spans="1:7" ht="15" customHeight="1" outlineLevel="3" x14ac:dyDescent="0.25">
      <c r="A519" s="10" t="s">
        <v>9</v>
      </c>
      <c r="B519" s="87">
        <v>3352525</v>
      </c>
      <c r="C519" s="87">
        <v>1315000</v>
      </c>
      <c r="D519" s="87">
        <v>1314472.3799999999</v>
      </c>
      <c r="E519" s="87">
        <v>1314472.3799999999</v>
      </c>
      <c r="F519" s="92">
        <f t="shared" si="35"/>
        <v>0.99959876806083636</v>
      </c>
      <c r="G519" s="92">
        <f t="shared" si="36"/>
        <v>0.39208428870776502</v>
      </c>
    </row>
    <row r="520" spans="1:7" ht="15" customHeight="1" outlineLevel="3" x14ac:dyDescent="0.25">
      <c r="A520" s="10" t="s">
        <v>10</v>
      </c>
      <c r="B520" s="87">
        <v>737556</v>
      </c>
      <c r="C520" s="87">
        <v>289300</v>
      </c>
      <c r="D520" s="87">
        <v>289184.02</v>
      </c>
      <c r="E520" s="87">
        <v>289184.02</v>
      </c>
      <c r="F520" s="92">
        <f t="shared" si="35"/>
        <v>0.99959910127894924</v>
      </c>
      <c r="G520" s="92">
        <f t="shared" si="36"/>
        <v>0.39208415361003102</v>
      </c>
    </row>
    <row r="521" spans="1:7" ht="15" customHeight="1" outlineLevel="3" x14ac:dyDescent="0.25">
      <c r="A521" s="10" t="s">
        <v>11</v>
      </c>
      <c r="B521" s="87">
        <v>50000</v>
      </c>
      <c r="C521" s="87">
        <v>50000</v>
      </c>
      <c r="D521" s="87">
        <v>16650</v>
      </c>
      <c r="E521" s="87">
        <v>16650</v>
      </c>
      <c r="F521" s="92">
        <f t="shared" si="35"/>
        <v>0.33300000000000002</v>
      </c>
      <c r="G521" s="92">
        <f t="shared" si="36"/>
        <v>0.33300000000000002</v>
      </c>
    </row>
    <row r="522" spans="1:7" ht="15" customHeight="1" outlineLevel="3" x14ac:dyDescent="0.25">
      <c r="A522" s="10" t="s">
        <v>12</v>
      </c>
      <c r="B522" s="87">
        <v>230000</v>
      </c>
      <c r="C522" s="87">
        <v>120000</v>
      </c>
      <c r="D522" s="87">
        <v>86986.32</v>
      </c>
      <c r="E522" s="87">
        <v>86986.32</v>
      </c>
      <c r="F522" s="92">
        <f t="shared" si="35"/>
        <v>0.72488600000000003</v>
      </c>
      <c r="G522" s="92">
        <f t="shared" si="36"/>
        <v>0.37820139130434788</v>
      </c>
    </row>
    <row r="523" spans="1:7" ht="15" customHeight="1" outlineLevel="3" x14ac:dyDescent="0.25">
      <c r="A523" s="10" t="s">
        <v>13</v>
      </c>
      <c r="B523" s="87">
        <v>33548</v>
      </c>
      <c r="C523" s="87">
        <v>20606</v>
      </c>
      <c r="D523" s="89"/>
      <c r="E523" s="89"/>
      <c r="F523" s="92">
        <f t="shared" si="35"/>
        <v>0</v>
      </c>
      <c r="G523" s="92">
        <f t="shared" si="36"/>
        <v>0</v>
      </c>
    </row>
    <row r="524" spans="1:7" ht="15" customHeight="1" outlineLevel="3" x14ac:dyDescent="0.25">
      <c r="A524" s="10" t="s">
        <v>14</v>
      </c>
      <c r="B524" s="87">
        <v>3664</v>
      </c>
      <c r="C524" s="87">
        <v>1485</v>
      </c>
      <c r="D524" s="87">
        <v>1484.91</v>
      </c>
      <c r="E524" s="87">
        <v>1484.91</v>
      </c>
      <c r="F524" s="92">
        <f t="shared" si="35"/>
        <v>0.99993939393939402</v>
      </c>
      <c r="G524" s="92">
        <f t="shared" si="36"/>
        <v>0.40527019650655022</v>
      </c>
    </row>
    <row r="525" spans="1:7" ht="15" customHeight="1" outlineLevel="3" x14ac:dyDescent="0.25">
      <c r="A525" s="10" t="s">
        <v>15</v>
      </c>
      <c r="B525" s="87">
        <v>33750</v>
      </c>
      <c r="C525" s="87">
        <v>15000</v>
      </c>
      <c r="D525" s="87">
        <v>8969.52</v>
      </c>
      <c r="E525" s="87">
        <v>8969.52</v>
      </c>
      <c r="F525" s="92">
        <f t="shared" si="35"/>
        <v>0.59796800000000006</v>
      </c>
      <c r="G525" s="92">
        <f t="shared" si="36"/>
        <v>0.26576355555555559</v>
      </c>
    </row>
    <row r="526" spans="1:7" ht="15" customHeight="1" outlineLevel="3" x14ac:dyDescent="0.25">
      <c r="A526" s="10" t="s">
        <v>26</v>
      </c>
      <c r="B526" s="87">
        <v>3200</v>
      </c>
      <c r="C526" s="87">
        <v>1338</v>
      </c>
      <c r="D526" s="88">
        <v>769.97</v>
      </c>
      <c r="E526" s="88">
        <v>769.97</v>
      </c>
      <c r="F526" s="92">
        <f t="shared" si="35"/>
        <v>0.57546337817638271</v>
      </c>
      <c r="G526" s="92">
        <f t="shared" si="36"/>
        <v>0.240615625</v>
      </c>
    </row>
    <row r="527" spans="1:7" ht="19.5" customHeight="1" outlineLevel="3" x14ac:dyDescent="0.25">
      <c r="A527" s="24" t="s">
        <v>49</v>
      </c>
      <c r="B527" s="25">
        <f>B528+B574</f>
        <v>60535436</v>
      </c>
      <c r="C527" s="25">
        <f t="shared" ref="C527:E527" si="37">C528+C574</f>
        <v>24670255</v>
      </c>
      <c r="D527" s="25">
        <f t="shared" si="37"/>
        <v>22594721.18</v>
      </c>
      <c r="E527" s="25">
        <f t="shared" si="37"/>
        <v>22594721.18</v>
      </c>
      <c r="F527" s="39">
        <f t="shared" si="35"/>
        <v>0.91586897581723414</v>
      </c>
      <c r="G527" s="39">
        <f t="shared" si="36"/>
        <v>0.37324784742609268</v>
      </c>
    </row>
    <row r="528" spans="1:7" ht="26.1" customHeight="1" outlineLevel="1" x14ac:dyDescent="0.25">
      <c r="A528" s="28" t="s">
        <v>89</v>
      </c>
      <c r="B528" s="93">
        <v>60415436</v>
      </c>
      <c r="C528" s="93">
        <v>24550255</v>
      </c>
      <c r="D528" s="93">
        <v>22548763.18</v>
      </c>
      <c r="E528" s="93">
        <v>22548763.18</v>
      </c>
      <c r="F528" s="94">
        <f t="shared" si="35"/>
        <v>0.91847368510021588</v>
      </c>
      <c r="G528" s="94">
        <f t="shared" si="36"/>
        <v>0.37322851034295274</v>
      </c>
    </row>
    <row r="529" spans="1:7" s="78" customFormat="1" ht="12" customHeight="1" outlineLevel="2" x14ac:dyDescent="0.25">
      <c r="A529" s="8" t="s">
        <v>50</v>
      </c>
      <c r="B529" s="9">
        <v>14990964</v>
      </c>
      <c r="C529" s="9">
        <v>6455823</v>
      </c>
      <c r="D529" s="9">
        <v>5454419.2699999996</v>
      </c>
      <c r="E529" s="9">
        <v>5454419.2699999996</v>
      </c>
      <c r="F529" s="16">
        <f t="shared" si="35"/>
        <v>0.84488364535396954</v>
      </c>
      <c r="G529" s="16">
        <f t="shared" si="36"/>
        <v>0.36384713284615983</v>
      </c>
    </row>
    <row r="530" spans="1:7" ht="13.5" customHeight="1" outlineLevel="3" x14ac:dyDescent="0.25">
      <c r="A530" s="10" t="s">
        <v>9</v>
      </c>
      <c r="B530" s="87">
        <v>9875516</v>
      </c>
      <c r="C530" s="87">
        <v>3925000</v>
      </c>
      <c r="D530" s="87">
        <v>3924667.2</v>
      </c>
      <c r="E530" s="87">
        <v>3924667.2</v>
      </c>
      <c r="F530" s="92">
        <f t="shared" si="35"/>
        <v>0.99991521019108287</v>
      </c>
      <c r="G530" s="92">
        <f t="shared" si="36"/>
        <v>0.39741388703132069</v>
      </c>
    </row>
    <row r="531" spans="1:7" ht="13.5" customHeight="1" outlineLevel="3" x14ac:dyDescent="0.25">
      <c r="A531" s="10" t="s">
        <v>10</v>
      </c>
      <c r="B531" s="87">
        <v>2172614</v>
      </c>
      <c r="C531" s="87">
        <v>863500</v>
      </c>
      <c r="D531" s="87">
        <v>858463.2</v>
      </c>
      <c r="E531" s="87">
        <v>858463.2</v>
      </c>
      <c r="F531" s="92">
        <f t="shared" si="35"/>
        <v>0.99416699478865078</v>
      </c>
      <c r="G531" s="92">
        <f t="shared" si="36"/>
        <v>0.39512918539602521</v>
      </c>
    </row>
    <row r="532" spans="1:7" ht="13.5" customHeight="1" outlineLevel="3" x14ac:dyDescent="0.25">
      <c r="A532" s="10" t="s">
        <v>11</v>
      </c>
      <c r="B532" s="87">
        <v>236300</v>
      </c>
      <c r="C532" s="87">
        <v>130300</v>
      </c>
      <c r="D532" s="87">
        <v>121039.7</v>
      </c>
      <c r="E532" s="87">
        <v>121039.7</v>
      </c>
      <c r="F532" s="92">
        <f t="shared" si="35"/>
        <v>0.92893092862624715</v>
      </c>
      <c r="G532" s="92">
        <f t="shared" si="36"/>
        <v>0.5122289462547609</v>
      </c>
    </row>
    <row r="533" spans="1:7" ht="13.5" customHeight="1" outlineLevel="3" x14ac:dyDescent="0.25">
      <c r="A533" s="10" t="s">
        <v>12</v>
      </c>
      <c r="B533" s="87">
        <v>654559</v>
      </c>
      <c r="C533" s="87">
        <v>339559</v>
      </c>
      <c r="D533" s="87">
        <v>100834.61</v>
      </c>
      <c r="E533" s="87">
        <v>100834.61</v>
      </c>
      <c r="F533" s="92">
        <f t="shared" si="35"/>
        <v>0.29695755376827004</v>
      </c>
      <c r="G533" s="92">
        <f t="shared" si="36"/>
        <v>0.15404968841617028</v>
      </c>
    </row>
    <row r="534" spans="1:7" ht="13.5" customHeight="1" outlineLevel="3" x14ac:dyDescent="0.25">
      <c r="A534" s="10" t="s">
        <v>21</v>
      </c>
      <c r="B534" s="87">
        <v>545000</v>
      </c>
      <c r="C534" s="87">
        <v>250000</v>
      </c>
      <c r="D534" s="87">
        <v>19891.400000000001</v>
      </c>
      <c r="E534" s="87">
        <v>19891.400000000001</v>
      </c>
      <c r="F534" s="92">
        <f t="shared" si="35"/>
        <v>7.95656E-2</v>
      </c>
      <c r="G534" s="92">
        <f t="shared" si="36"/>
        <v>3.6497981651376146E-2</v>
      </c>
    </row>
    <row r="535" spans="1:7" ht="13.5" customHeight="1" outlineLevel="3" x14ac:dyDescent="0.25">
      <c r="A535" s="10" t="s">
        <v>13</v>
      </c>
      <c r="B535" s="87">
        <v>444732</v>
      </c>
      <c r="C535" s="87">
        <v>278108</v>
      </c>
      <c r="D535" s="87">
        <v>24365.46</v>
      </c>
      <c r="E535" s="87">
        <v>24365.46</v>
      </c>
      <c r="F535" s="92">
        <f t="shared" si="35"/>
        <v>8.7611503444704933E-2</v>
      </c>
      <c r="G535" s="92">
        <f t="shared" si="36"/>
        <v>5.4786837915868435E-2</v>
      </c>
    </row>
    <row r="536" spans="1:7" ht="13.5" customHeight="1" outlineLevel="3" x14ac:dyDescent="0.25">
      <c r="A536" s="10" t="s">
        <v>14</v>
      </c>
      <c r="B536" s="87">
        <v>158055</v>
      </c>
      <c r="C536" s="87">
        <v>70188</v>
      </c>
      <c r="D536" s="87">
        <v>14670.16</v>
      </c>
      <c r="E536" s="87">
        <v>14670.16</v>
      </c>
      <c r="F536" s="92">
        <f t="shared" si="35"/>
        <v>0.20901236678634524</v>
      </c>
      <c r="G536" s="92">
        <f t="shared" si="36"/>
        <v>9.2816804276992182E-2</v>
      </c>
    </row>
    <row r="537" spans="1:7" ht="13.5" customHeight="1" outlineLevel="3" x14ac:dyDescent="0.25">
      <c r="A537" s="10" t="s">
        <v>15</v>
      </c>
      <c r="B537" s="87">
        <v>515954</v>
      </c>
      <c r="C537" s="87">
        <v>224100</v>
      </c>
      <c r="D537" s="87">
        <v>192094.78</v>
      </c>
      <c r="E537" s="87">
        <v>192094.78</v>
      </c>
      <c r="F537" s="92">
        <f t="shared" si="35"/>
        <v>0.85718331102186518</v>
      </c>
      <c r="G537" s="92">
        <f t="shared" si="36"/>
        <v>0.37230989584342788</v>
      </c>
    </row>
    <row r="538" spans="1:7" ht="13.5" customHeight="1" outlineLevel="3" x14ac:dyDescent="0.25">
      <c r="A538" s="10" t="s">
        <v>26</v>
      </c>
      <c r="B538" s="87">
        <v>21734</v>
      </c>
      <c r="C538" s="87">
        <v>8568</v>
      </c>
      <c r="D538" s="87">
        <v>5412.76</v>
      </c>
      <c r="E538" s="87">
        <v>5412.76</v>
      </c>
      <c r="F538" s="92">
        <f t="shared" si="35"/>
        <v>0.63174136321195151</v>
      </c>
      <c r="G538" s="92">
        <f t="shared" si="36"/>
        <v>0.24904573479341124</v>
      </c>
    </row>
    <row r="539" spans="1:7" ht="25.5" customHeight="1" outlineLevel="3" x14ac:dyDescent="0.25">
      <c r="A539" s="10" t="s">
        <v>56</v>
      </c>
      <c r="B539" s="87">
        <v>366500</v>
      </c>
      <c r="C539" s="87">
        <v>366500</v>
      </c>
      <c r="D539" s="87">
        <v>192980</v>
      </c>
      <c r="E539" s="87">
        <v>192980</v>
      </c>
      <c r="F539" s="92">
        <f t="shared" si="35"/>
        <v>0.52654843110504779</v>
      </c>
      <c r="G539" s="92">
        <f t="shared" si="36"/>
        <v>0.52654843110504779</v>
      </c>
    </row>
    <row r="540" spans="1:7" s="78" customFormat="1" ht="12" customHeight="1" outlineLevel="2" x14ac:dyDescent="0.25">
      <c r="A540" s="8" t="s">
        <v>51</v>
      </c>
      <c r="B540" s="9">
        <v>19156129</v>
      </c>
      <c r="C540" s="9">
        <v>7809541</v>
      </c>
      <c r="D540" s="9">
        <v>7706021.7699999996</v>
      </c>
      <c r="E540" s="9">
        <v>7706021.7699999996</v>
      </c>
      <c r="F540" s="16">
        <f t="shared" si="35"/>
        <v>0.98674451801968899</v>
      </c>
      <c r="G540" s="16">
        <f t="shared" si="36"/>
        <v>0.40227447674840777</v>
      </c>
    </row>
    <row r="541" spans="1:7" ht="13.5" customHeight="1" outlineLevel="3" x14ac:dyDescent="0.25">
      <c r="A541" s="10" t="s">
        <v>9</v>
      </c>
      <c r="B541" s="87">
        <v>14230943</v>
      </c>
      <c r="C541" s="87">
        <v>5704555</v>
      </c>
      <c r="D541" s="87">
        <v>5688012.7599999998</v>
      </c>
      <c r="E541" s="87">
        <v>5688012.7599999998</v>
      </c>
      <c r="F541" s="92">
        <f t="shared" si="35"/>
        <v>0.99710016995190687</v>
      </c>
      <c r="G541" s="92">
        <f t="shared" si="36"/>
        <v>0.39969331336651409</v>
      </c>
    </row>
    <row r="542" spans="1:7" ht="13.5" customHeight="1" outlineLevel="3" x14ac:dyDescent="0.25">
      <c r="A542" s="10" t="s">
        <v>10</v>
      </c>
      <c r="B542" s="87">
        <v>3130807</v>
      </c>
      <c r="C542" s="87">
        <v>1255002</v>
      </c>
      <c r="D542" s="87">
        <v>1251624.4099999999</v>
      </c>
      <c r="E542" s="87">
        <v>1251624.4099999999</v>
      </c>
      <c r="F542" s="92">
        <f t="shared" si="35"/>
        <v>0.9973086975160198</v>
      </c>
      <c r="G542" s="92">
        <f t="shared" si="36"/>
        <v>0.39977692971812057</v>
      </c>
    </row>
    <row r="543" spans="1:7" ht="13.5" customHeight="1" outlineLevel="3" x14ac:dyDescent="0.25">
      <c r="A543" s="10" t="s">
        <v>11</v>
      </c>
      <c r="B543" s="87">
        <v>186200</v>
      </c>
      <c r="C543" s="87">
        <v>46550</v>
      </c>
      <c r="D543" s="87">
        <v>46256.84</v>
      </c>
      <c r="E543" s="87">
        <v>46256.84</v>
      </c>
      <c r="F543" s="92">
        <f t="shared" si="35"/>
        <v>0.99370225563909764</v>
      </c>
      <c r="G543" s="92">
        <f t="shared" si="36"/>
        <v>0.24842556390977441</v>
      </c>
    </row>
    <row r="544" spans="1:7" ht="13.5" customHeight="1" outlineLevel="3" x14ac:dyDescent="0.25">
      <c r="A544" s="10" t="s">
        <v>12</v>
      </c>
      <c r="B544" s="87">
        <v>413800</v>
      </c>
      <c r="C544" s="87">
        <v>172419</v>
      </c>
      <c r="D544" s="87">
        <v>133627.23000000001</v>
      </c>
      <c r="E544" s="87">
        <v>133627.23000000001</v>
      </c>
      <c r="F544" s="92">
        <f t="shared" si="35"/>
        <v>0.77501452856123754</v>
      </c>
      <c r="G544" s="92">
        <f t="shared" si="36"/>
        <v>0.32292709038182699</v>
      </c>
    </row>
    <row r="545" spans="1:7" ht="13.5" customHeight="1" outlineLevel="3" x14ac:dyDescent="0.25">
      <c r="A545" s="10" t="s">
        <v>21</v>
      </c>
      <c r="B545" s="87">
        <v>490000</v>
      </c>
      <c r="C545" s="87">
        <v>245000</v>
      </c>
      <c r="D545" s="87">
        <v>238344.73</v>
      </c>
      <c r="E545" s="87">
        <v>238344.73</v>
      </c>
      <c r="F545" s="92">
        <f t="shared" si="35"/>
        <v>0.97283563265306128</v>
      </c>
      <c r="G545" s="92">
        <f t="shared" si="36"/>
        <v>0.48641781632653064</v>
      </c>
    </row>
    <row r="546" spans="1:7" ht="13.5" customHeight="1" outlineLevel="3" x14ac:dyDescent="0.25">
      <c r="A546" s="10" t="s">
        <v>13</v>
      </c>
      <c r="B546" s="87">
        <v>408450</v>
      </c>
      <c r="C546" s="87">
        <v>216454</v>
      </c>
      <c r="D546" s="87">
        <v>189318.68</v>
      </c>
      <c r="E546" s="87">
        <v>189318.68</v>
      </c>
      <c r="F546" s="92">
        <f t="shared" si="35"/>
        <v>0.87463701294501373</v>
      </c>
      <c r="G546" s="92">
        <f t="shared" si="36"/>
        <v>0.46350515362957523</v>
      </c>
    </row>
    <row r="547" spans="1:7" ht="13.5" customHeight="1" outlineLevel="3" x14ac:dyDescent="0.25">
      <c r="A547" s="10" t="s">
        <v>14</v>
      </c>
      <c r="B547" s="87">
        <v>32834</v>
      </c>
      <c r="C547" s="87">
        <v>13682</v>
      </c>
      <c r="D547" s="87">
        <v>11226.77</v>
      </c>
      <c r="E547" s="87">
        <v>11226.77</v>
      </c>
      <c r="F547" s="92">
        <f t="shared" si="35"/>
        <v>0.82055035813477561</v>
      </c>
      <c r="G547" s="92">
        <f t="shared" si="36"/>
        <v>0.34192513857586648</v>
      </c>
    </row>
    <row r="548" spans="1:7" ht="13.5" customHeight="1" outlineLevel="3" x14ac:dyDescent="0.25">
      <c r="A548" s="10" t="s">
        <v>15</v>
      </c>
      <c r="B548" s="87">
        <v>191095</v>
      </c>
      <c r="C548" s="87">
        <v>99629</v>
      </c>
      <c r="D548" s="87">
        <v>98433.9</v>
      </c>
      <c r="E548" s="87">
        <v>98433.9</v>
      </c>
      <c r="F548" s="92">
        <f t="shared" si="35"/>
        <v>0.98800449668269275</v>
      </c>
      <c r="G548" s="92">
        <f t="shared" si="36"/>
        <v>0.51510452916088856</v>
      </c>
    </row>
    <row r="549" spans="1:7" ht="13.5" customHeight="1" outlineLevel="3" x14ac:dyDescent="0.25">
      <c r="A549" s="10" t="s">
        <v>26</v>
      </c>
      <c r="B549" s="87">
        <v>27000</v>
      </c>
      <c r="C549" s="87">
        <v>11250</v>
      </c>
      <c r="D549" s="87">
        <v>7338.45</v>
      </c>
      <c r="E549" s="87">
        <v>7338.45</v>
      </c>
      <c r="F549" s="92">
        <f t="shared" si="35"/>
        <v>0.6523066666666667</v>
      </c>
      <c r="G549" s="92">
        <f t="shared" si="36"/>
        <v>0.27179444444444445</v>
      </c>
    </row>
    <row r="550" spans="1:7" ht="24" customHeight="1" outlineLevel="3" x14ac:dyDescent="0.25">
      <c r="A550" s="10" t="s">
        <v>56</v>
      </c>
      <c r="B550" s="87">
        <v>45000</v>
      </c>
      <c r="C550" s="87">
        <v>45000</v>
      </c>
      <c r="D550" s="87">
        <v>41838</v>
      </c>
      <c r="E550" s="87">
        <v>41838</v>
      </c>
      <c r="F550" s="92">
        <f t="shared" si="35"/>
        <v>0.9297333333333333</v>
      </c>
      <c r="G550" s="92">
        <f t="shared" si="36"/>
        <v>0.9297333333333333</v>
      </c>
    </row>
    <row r="551" spans="1:7" s="78" customFormat="1" ht="12" customHeight="1" outlineLevel="2" x14ac:dyDescent="0.25">
      <c r="A551" s="8" t="s">
        <v>98</v>
      </c>
      <c r="B551" s="9">
        <v>11496447</v>
      </c>
      <c r="C551" s="9">
        <v>4489630</v>
      </c>
      <c r="D551" s="9">
        <v>4128011.4</v>
      </c>
      <c r="E551" s="9">
        <v>4128011.4</v>
      </c>
      <c r="F551" s="16">
        <f t="shared" si="35"/>
        <v>0.91945469893955623</v>
      </c>
      <c r="G551" s="16">
        <f t="shared" si="36"/>
        <v>0.3590684495827276</v>
      </c>
    </row>
    <row r="552" spans="1:7" ht="15" customHeight="1" outlineLevel="3" x14ac:dyDescent="0.25">
      <c r="A552" s="10" t="s">
        <v>9</v>
      </c>
      <c r="B552" s="87">
        <v>8357738</v>
      </c>
      <c r="C552" s="87">
        <v>3130000</v>
      </c>
      <c r="D552" s="87">
        <v>3112864.87</v>
      </c>
      <c r="E552" s="87">
        <v>3112864.87</v>
      </c>
      <c r="F552" s="92">
        <f t="shared" si="35"/>
        <v>0.99452551757188501</v>
      </c>
      <c r="G552" s="92">
        <f t="shared" si="36"/>
        <v>0.37245303334466817</v>
      </c>
    </row>
    <row r="553" spans="1:7" ht="15" customHeight="1" outlineLevel="3" x14ac:dyDescent="0.25">
      <c r="A553" s="10" t="s">
        <v>10</v>
      </c>
      <c r="B553" s="87">
        <v>1838703</v>
      </c>
      <c r="C553" s="87">
        <v>688600</v>
      </c>
      <c r="D553" s="87">
        <v>681501.5</v>
      </c>
      <c r="E553" s="87">
        <v>681501.5</v>
      </c>
      <c r="F553" s="92">
        <f t="shared" si="35"/>
        <v>0.98969140284635493</v>
      </c>
      <c r="G553" s="92">
        <f t="shared" si="36"/>
        <v>0.37064251268421272</v>
      </c>
    </row>
    <row r="554" spans="1:7" ht="15" customHeight="1" outlineLevel="3" x14ac:dyDescent="0.25">
      <c r="A554" s="10" t="s">
        <v>11</v>
      </c>
      <c r="B554" s="87">
        <v>40300</v>
      </c>
      <c r="C554" s="87">
        <v>40300</v>
      </c>
      <c r="D554" s="89"/>
      <c r="E554" s="89"/>
      <c r="F554" s="92">
        <f t="shared" si="35"/>
        <v>0</v>
      </c>
      <c r="G554" s="92">
        <f t="shared" si="36"/>
        <v>0</v>
      </c>
    </row>
    <row r="555" spans="1:7" ht="15" customHeight="1" outlineLevel="3" x14ac:dyDescent="0.25">
      <c r="A555" s="10" t="s">
        <v>12</v>
      </c>
      <c r="B555" s="87">
        <v>527800</v>
      </c>
      <c r="C555" s="87">
        <v>200000</v>
      </c>
      <c r="D555" s="87">
        <v>176467.04</v>
      </c>
      <c r="E555" s="87">
        <v>176467.04</v>
      </c>
      <c r="F555" s="92">
        <f t="shared" si="35"/>
        <v>0.88233519999999999</v>
      </c>
      <c r="G555" s="92">
        <f t="shared" si="36"/>
        <v>0.33434452444107621</v>
      </c>
    </row>
    <row r="556" spans="1:7" ht="15" customHeight="1" outlineLevel="3" x14ac:dyDescent="0.25">
      <c r="A556" s="10" t="s">
        <v>21</v>
      </c>
      <c r="B556" s="87">
        <v>150000</v>
      </c>
      <c r="C556" s="87">
        <v>110000</v>
      </c>
      <c r="D556" s="87">
        <v>64895.33</v>
      </c>
      <c r="E556" s="87">
        <v>64895.33</v>
      </c>
      <c r="F556" s="92">
        <f t="shared" si="35"/>
        <v>0.58995754545454548</v>
      </c>
      <c r="G556" s="92">
        <f t="shared" si="36"/>
        <v>0.43263553333333332</v>
      </c>
    </row>
    <row r="557" spans="1:7" ht="15" customHeight="1" outlineLevel="3" x14ac:dyDescent="0.25">
      <c r="A557" s="10" t="s">
        <v>13</v>
      </c>
      <c r="B557" s="87">
        <v>195735</v>
      </c>
      <c r="C557" s="87">
        <v>89000</v>
      </c>
      <c r="D557" s="87">
        <v>31874.73</v>
      </c>
      <c r="E557" s="87">
        <v>31874.73</v>
      </c>
      <c r="F557" s="92">
        <f t="shared" si="35"/>
        <v>0.35814303370786515</v>
      </c>
      <c r="G557" s="92">
        <f t="shared" si="36"/>
        <v>0.16284634837918613</v>
      </c>
    </row>
    <row r="558" spans="1:7" ht="15" customHeight="1" outlineLevel="3" x14ac:dyDescent="0.25">
      <c r="A558" s="10" t="s">
        <v>14</v>
      </c>
      <c r="B558" s="87">
        <v>68109</v>
      </c>
      <c r="C558" s="87">
        <v>32000</v>
      </c>
      <c r="D558" s="87">
        <v>5172.95</v>
      </c>
      <c r="E558" s="87">
        <v>5172.95</v>
      </c>
      <c r="F558" s="92">
        <f t="shared" si="35"/>
        <v>0.1616546875</v>
      </c>
      <c r="G558" s="92">
        <f t="shared" si="36"/>
        <v>7.5951049053722713E-2</v>
      </c>
    </row>
    <row r="559" spans="1:7" ht="15" customHeight="1" outlineLevel="3" x14ac:dyDescent="0.25">
      <c r="A559" s="10" t="s">
        <v>15</v>
      </c>
      <c r="B559" s="87">
        <v>221970</v>
      </c>
      <c r="C559" s="87">
        <v>108985</v>
      </c>
      <c r="D559" s="87">
        <v>55234.98</v>
      </c>
      <c r="E559" s="87">
        <v>55234.98</v>
      </c>
      <c r="F559" s="92">
        <f t="shared" si="35"/>
        <v>0.50681268064412532</v>
      </c>
      <c r="G559" s="92">
        <f t="shared" si="36"/>
        <v>0.24883984322205704</v>
      </c>
    </row>
    <row r="560" spans="1:7" ht="15" customHeight="1" outlineLevel="3" x14ac:dyDescent="0.25">
      <c r="A560" s="10" t="s">
        <v>26</v>
      </c>
      <c r="B560" s="87">
        <v>10692</v>
      </c>
      <c r="C560" s="87">
        <v>5345</v>
      </c>
      <c r="D560" s="89"/>
      <c r="E560" s="89"/>
      <c r="F560" s="92">
        <f t="shared" si="35"/>
        <v>0</v>
      </c>
      <c r="G560" s="92">
        <f t="shared" si="36"/>
        <v>0</v>
      </c>
    </row>
    <row r="561" spans="1:7" ht="27.75" customHeight="1" outlineLevel="3" x14ac:dyDescent="0.25">
      <c r="A561" s="10" t="s">
        <v>16</v>
      </c>
      <c r="B561" s="87">
        <v>11900</v>
      </c>
      <c r="C561" s="87">
        <v>11900</v>
      </c>
      <c r="D561" s="89"/>
      <c r="E561" s="89"/>
      <c r="F561" s="92">
        <f t="shared" si="35"/>
        <v>0</v>
      </c>
      <c r="G561" s="92">
        <f t="shared" si="36"/>
        <v>0</v>
      </c>
    </row>
    <row r="562" spans="1:7" ht="24.75" customHeight="1" outlineLevel="3" x14ac:dyDescent="0.25">
      <c r="A562" s="10" t="s">
        <v>56</v>
      </c>
      <c r="B562" s="87">
        <v>73500</v>
      </c>
      <c r="C562" s="87">
        <v>73500</v>
      </c>
      <c r="D562" s="89"/>
      <c r="E562" s="89"/>
      <c r="F562" s="92">
        <f t="shared" si="35"/>
        <v>0</v>
      </c>
      <c r="G562" s="92">
        <f t="shared" si="36"/>
        <v>0</v>
      </c>
    </row>
    <row r="563" spans="1:7" s="78" customFormat="1" ht="12" customHeight="1" outlineLevel="2" x14ac:dyDescent="0.25">
      <c r="A563" s="8" t="s">
        <v>52</v>
      </c>
      <c r="B563" s="9">
        <v>14771896</v>
      </c>
      <c r="C563" s="9">
        <v>5795261</v>
      </c>
      <c r="D563" s="9">
        <v>5260310.74</v>
      </c>
      <c r="E563" s="9">
        <v>5260310.74</v>
      </c>
      <c r="F563" s="16">
        <f t="shared" si="35"/>
        <v>0.90769177436529613</v>
      </c>
      <c r="G563" s="16">
        <f t="shared" si="36"/>
        <v>0.35610261133709581</v>
      </c>
    </row>
    <row r="564" spans="1:7" ht="13.5" customHeight="1" outlineLevel="3" x14ac:dyDescent="0.25">
      <c r="A564" s="10" t="s">
        <v>9</v>
      </c>
      <c r="B564" s="87">
        <v>10287124</v>
      </c>
      <c r="C564" s="87">
        <v>3850000</v>
      </c>
      <c r="D564" s="87">
        <v>3808056.31</v>
      </c>
      <c r="E564" s="87">
        <v>3808056.31</v>
      </c>
      <c r="F564" s="92">
        <f t="shared" si="35"/>
        <v>0.98910553506493504</v>
      </c>
      <c r="G564" s="92">
        <f t="shared" si="36"/>
        <v>0.37017696199637529</v>
      </c>
    </row>
    <row r="565" spans="1:7" ht="13.5" customHeight="1" outlineLevel="3" x14ac:dyDescent="0.25">
      <c r="A565" s="10" t="s">
        <v>10</v>
      </c>
      <c r="B565" s="87">
        <v>2263167</v>
      </c>
      <c r="C565" s="87">
        <v>847000</v>
      </c>
      <c r="D565" s="87">
        <v>816585.83</v>
      </c>
      <c r="E565" s="87">
        <v>816585.83</v>
      </c>
      <c r="F565" s="92">
        <f t="shared" si="35"/>
        <v>0.96409188902007081</v>
      </c>
      <c r="G565" s="92">
        <f t="shared" si="36"/>
        <v>0.36081554299793162</v>
      </c>
    </row>
    <row r="566" spans="1:7" ht="13.5" customHeight="1" outlineLevel="3" x14ac:dyDescent="0.25">
      <c r="A566" s="10" t="s">
        <v>11</v>
      </c>
      <c r="B566" s="87">
        <v>130000</v>
      </c>
      <c r="C566" s="87">
        <v>39550</v>
      </c>
      <c r="D566" s="87">
        <v>16200</v>
      </c>
      <c r="E566" s="87">
        <v>16200</v>
      </c>
      <c r="F566" s="92">
        <f t="shared" si="35"/>
        <v>0.40960809102402024</v>
      </c>
      <c r="G566" s="92">
        <f t="shared" si="36"/>
        <v>0.12461538461538461</v>
      </c>
    </row>
    <row r="567" spans="1:7" ht="13.5" customHeight="1" outlineLevel="3" x14ac:dyDescent="0.25">
      <c r="A567" s="10" t="s">
        <v>12</v>
      </c>
      <c r="B567" s="87">
        <v>320000</v>
      </c>
      <c r="C567" s="87">
        <v>130000</v>
      </c>
      <c r="D567" s="87">
        <v>84459.91</v>
      </c>
      <c r="E567" s="87">
        <v>84459.91</v>
      </c>
      <c r="F567" s="92">
        <f t="shared" si="35"/>
        <v>0.6496916153846154</v>
      </c>
      <c r="G567" s="92">
        <f t="shared" si="36"/>
        <v>0.26393721875000004</v>
      </c>
    </row>
    <row r="568" spans="1:7" ht="13.5" customHeight="1" outlineLevel="3" x14ac:dyDescent="0.25">
      <c r="A568" s="10" t="s">
        <v>21</v>
      </c>
      <c r="B568" s="87">
        <v>500000</v>
      </c>
      <c r="C568" s="87">
        <v>250000</v>
      </c>
      <c r="D568" s="87">
        <v>62970.11</v>
      </c>
      <c r="E568" s="87">
        <v>62970.11</v>
      </c>
      <c r="F568" s="92">
        <f t="shared" si="35"/>
        <v>0.25188043999999998</v>
      </c>
      <c r="G568" s="92">
        <f t="shared" si="36"/>
        <v>0.12594021999999999</v>
      </c>
    </row>
    <row r="569" spans="1:7" ht="13.5" customHeight="1" outlineLevel="3" x14ac:dyDescent="0.25">
      <c r="A569" s="10" t="s">
        <v>13</v>
      </c>
      <c r="B569" s="87">
        <v>822713</v>
      </c>
      <c r="C569" s="87">
        <v>499915</v>
      </c>
      <c r="D569" s="87">
        <v>342087.14</v>
      </c>
      <c r="E569" s="87">
        <v>342087.14</v>
      </c>
      <c r="F569" s="92">
        <f t="shared" si="35"/>
        <v>0.68429060940359865</v>
      </c>
      <c r="G569" s="92">
        <f t="shared" si="36"/>
        <v>0.41580373714770524</v>
      </c>
    </row>
    <row r="570" spans="1:7" ht="13.5" customHeight="1" outlineLevel="3" x14ac:dyDescent="0.25">
      <c r="A570" s="10" t="s">
        <v>14</v>
      </c>
      <c r="B570" s="87">
        <v>94589</v>
      </c>
      <c r="C570" s="87">
        <v>42995</v>
      </c>
      <c r="D570" s="87">
        <v>24464.27</v>
      </c>
      <c r="E570" s="87">
        <v>24464.27</v>
      </c>
      <c r="F570" s="92">
        <f t="shared" ref="F570:F618" si="38">D570/C570</f>
        <v>0.56900267472961974</v>
      </c>
      <c r="G570" s="92">
        <f t="shared" ref="G570:G623" si="39">D570/B570</f>
        <v>0.25863757942255444</v>
      </c>
    </row>
    <row r="571" spans="1:7" ht="13.5" customHeight="1" outlineLevel="3" x14ac:dyDescent="0.25">
      <c r="A571" s="10" t="s">
        <v>15</v>
      </c>
      <c r="B571" s="87">
        <v>338655</v>
      </c>
      <c r="C571" s="87">
        <v>129103</v>
      </c>
      <c r="D571" s="87">
        <v>103038.86</v>
      </c>
      <c r="E571" s="87">
        <v>103038.86</v>
      </c>
      <c r="F571" s="92">
        <f t="shared" si="38"/>
        <v>0.79811359921922809</v>
      </c>
      <c r="G571" s="92">
        <f t="shared" si="39"/>
        <v>0.30425908372827803</v>
      </c>
    </row>
    <row r="572" spans="1:7" ht="13.5" customHeight="1" outlineLevel="3" x14ac:dyDescent="0.25">
      <c r="A572" s="10" t="s">
        <v>32</v>
      </c>
      <c r="B572" s="87">
        <v>1060</v>
      </c>
      <c r="C572" s="87">
        <v>619</v>
      </c>
      <c r="D572" s="88">
        <v>448.31</v>
      </c>
      <c r="E572" s="88">
        <v>448.31</v>
      </c>
      <c r="F572" s="92">
        <f t="shared" si="38"/>
        <v>0.72424878836833606</v>
      </c>
      <c r="G572" s="92">
        <f t="shared" si="39"/>
        <v>0.42293396226415092</v>
      </c>
    </row>
    <row r="573" spans="1:7" ht="13.5" customHeight="1" outlineLevel="3" x14ac:dyDescent="0.25">
      <c r="A573" s="10" t="s">
        <v>26</v>
      </c>
      <c r="B573" s="87">
        <v>14588</v>
      </c>
      <c r="C573" s="87">
        <v>6079</v>
      </c>
      <c r="D573" s="87">
        <v>2000</v>
      </c>
      <c r="E573" s="87">
        <v>2000</v>
      </c>
      <c r="F573" s="92">
        <f t="shared" si="38"/>
        <v>0.32900148050666228</v>
      </c>
      <c r="G573" s="92">
        <f t="shared" si="39"/>
        <v>0.13709898546750754</v>
      </c>
    </row>
    <row r="574" spans="1:7" ht="26.1" customHeight="1" outlineLevel="1" x14ac:dyDescent="0.25">
      <c r="A574" s="28" t="s">
        <v>125</v>
      </c>
      <c r="B574" s="93">
        <v>120000</v>
      </c>
      <c r="C574" s="93">
        <v>120000</v>
      </c>
      <c r="D574" s="93">
        <v>45958</v>
      </c>
      <c r="E574" s="93">
        <v>45958</v>
      </c>
      <c r="F574" s="94">
        <f t="shared" si="38"/>
        <v>0.38298333333333334</v>
      </c>
      <c r="G574" s="94">
        <f t="shared" si="39"/>
        <v>0.38298333333333334</v>
      </c>
    </row>
    <row r="575" spans="1:7" s="78" customFormat="1" ht="25.5" customHeight="1" outlineLevel="2" x14ac:dyDescent="0.25">
      <c r="A575" s="8" t="s">
        <v>22</v>
      </c>
      <c r="B575" s="9">
        <v>120000</v>
      </c>
      <c r="C575" s="9">
        <v>120000</v>
      </c>
      <c r="D575" s="9">
        <v>45958</v>
      </c>
      <c r="E575" s="9">
        <v>45958</v>
      </c>
      <c r="F575" s="16">
        <f t="shared" si="38"/>
        <v>0.38298333333333334</v>
      </c>
      <c r="G575" s="16">
        <f t="shared" si="39"/>
        <v>0.38298333333333334</v>
      </c>
    </row>
    <row r="576" spans="1:7" ht="16.5" customHeight="1" outlineLevel="3" x14ac:dyDescent="0.25">
      <c r="A576" s="10" t="s">
        <v>11</v>
      </c>
      <c r="B576" s="87">
        <v>120000</v>
      </c>
      <c r="C576" s="87">
        <v>120000</v>
      </c>
      <c r="D576" s="87">
        <v>45958</v>
      </c>
      <c r="E576" s="87">
        <v>45958</v>
      </c>
      <c r="F576" s="92">
        <f t="shared" si="38"/>
        <v>0.38298333333333334</v>
      </c>
      <c r="G576" s="92">
        <f t="shared" si="39"/>
        <v>0.38298333333333334</v>
      </c>
    </row>
    <row r="577" spans="1:7" ht="23.25" customHeight="1" outlineLevel="3" x14ac:dyDescent="0.25">
      <c r="A577" s="24" t="s">
        <v>53</v>
      </c>
      <c r="B577" s="25">
        <f>B578+B581</f>
        <v>104113338</v>
      </c>
      <c r="C577" s="25">
        <f t="shared" ref="C577:E577" si="40">C578+C581</f>
        <v>102404647</v>
      </c>
      <c r="D577" s="25">
        <f t="shared" si="40"/>
        <v>3030826.02</v>
      </c>
      <c r="E577" s="25">
        <f t="shared" si="40"/>
        <v>3030826.02</v>
      </c>
      <c r="F577" s="26">
        <f t="shared" si="38"/>
        <v>2.9596567233906877E-2</v>
      </c>
      <c r="G577" s="26">
        <f t="shared" si="39"/>
        <v>2.9110833234450711E-2</v>
      </c>
    </row>
    <row r="578" spans="1:7" ht="27.75" customHeight="1" outlineLevel="1" x14ac:dyDescent="0.25">
      <c r="A578" s="28" t="s">
        <v>91</v>
      </c>
      <c r="B578" s="93">
        <v>2929181</v>
      </c>
      <c r="C578" s="93">
        <v>1220490</v>
      </c>
      <c r="D578" s="100"/>
      <c r="E578" s="100"/>
      <c r="F578" s="94">
        <f t="shared" si="38"/>
        <v>0</v>
      </c>
      <c r="G578" s="94">
        <f t="shared" si="39"/>
        <v>0</v>
      </c>
    </row>
    <row r="579" spans="1:7" s="78" customFormat="1" ht="27" customHeight="1" outlineLevel="2" x14ac:dyDescent="0.25">
      <c r="A579" s="8" t="s">
        <v>54</v>
      </c>
      <c r="B579" s="9">
        <v>2929181</v>
      </c>
      <c r="C579" s="9">
        <v>1220490</v>
      </c>
      <c r="D579" s="80"/>
      <c r="E579" s="80"/>
      <c r="F579" s="16">
        <f t="shared" si="38"/>
        <v>0</v>
      </c>
      <c r="G579" s="16">
        <f t="shared" si="39"/>
        <v>0</v>
      </c>
    </row>
    <row r="580" spans="1:7" ht="28.5" customHeight="1" outlineLevel="3" x14ac:dyDescent="0.25">
      <c r="A580" s="10" t="s">
        <v>37</v>
      </c>
      <c r="B580" s="87">
        <v>2929181</v>
      </c>
      <c r="C580" s="87">
        <v>1220490</v>
      </c>
      <c r="D580" s="89"/>
      <c r="E580" s="89"/>
      <c r="F580" s="92">
        <f t="shared" si="38"/>
        <v>0</v>
      </c>
      <c r="G580" s="92">
        <f t="shared" si="39"/>
        <v>0</v>
      </c>
    </row>
    <row r="581" spans="1:7" ht="38.1" customHeight="1" outlineLevel="1" x14ac:dyDescent="0.25">
      <c r="A581" s="28" t="s">
        <v>117</v>
      </c>
      <c r="B581" s="93">
        <v>101184157</v>
      </c>
      <c r="C581" s="93">
        <v>101184157</v>
      </c>
      <c r="D581" s="93">
        <v>3030826.02</v>
      </c>
      <c r="E581" s="93">
        <v>3030826.02</v>
      </c>
      <c r="F581" s="94">
        <f t="shared" si="38"/>
        <v>2.9953562987138391E-2</v>
      </c>
      <c r="G581" s="94">
        <f t="shared" si="39"/>
        <v>2.9953562987138391E-2</v>
      </c>
    </row>
    <row r="582" spans="1:7" s="78" customFormat="1" ht="17.25" customHeight="1" outlineLevel="2" x14ac:dyDescent="0.25">
      <c r="A582" s="8" t="s">
        <v>94</v>
      </c>
      <c r="B582" s="9">
        <v>3500000</v>
      </c>
      <c r="C582" s="9">
        <v>3500000</v>
      </c>
      <c r="D582" s="9">
        <v>491666.67</v>
      </c>
      <c r="E582" s="9">
        <v>491666.67</v>
      </c>
      <c r="F582" s="16">
        <f t="shared" si="38"/>
        <v>0.14047619142857143</v>
      </c>
      <c r="G582" s="16">
        <f t="shared" si="39"/>
        <v>0.14047619142857143</v>
      </c>
    </row>
    <row r="583" spans="1:7" ht="24.75" customHeight="1" outlineLevel="3" x14ac:dyDescent="0.25">
      <c r="A583" s="10" t="s">
        <v>59</v>
      </c>
      <c r="B583" s="87">
        <v>3500000</v>
      </c>
      <c r="C583" s="87">
        <v>3500000</v>
      </c>
      <c r="D583" s="87">
        <v>491666.67</v>
      </c>
      <c r="E583" s="87">
        <v>491666.67</v>
      </c>
      <c r="F583" s="92">
        <f t="shared" si="38"/>
        <v>0.14047619142857143</v>
      </c>
      <c r="G583" s="92">
        <f t="shared" si="39"/>
        <v>0.14047619142857143</v>
      </c>
    </row>
    <row r="584" spans="1:7" s="78" customFormat="1" ht="24" customHeight="1" outlineLevel="2" x14ac:dyDescent="0.25">
      <c r="A584" s="8" t="s">
        <v>137</v>
      </c>
      <c r="B584" s="9">
        <v>72865157</v>
      </c>
      <c r="C584" s="9">
        <v>72865157</v>
      </c>
      <c r="D584" s="80"/>
      <c r="E584" s="80"/>
      <c r="F584" s="16">
        <f t="shared" si="38"/>
        <v>0</v>
      </c>
      <c r="G584" s="16">
        <f t="shared" si="39"/>
        <v>0</v>
      </c>
    </row>
    <row r="585" spans="1:7" ht="15.75" customHeight="1" outlineLevel="3" x14ac:dyDescent="0.25">
      <c r="A585" s="10" t="s">
        <v>126</v>
      </c>
      <c r="B585" s="87">
        <v>67865157</v>
      </c>
      <c r="C585" s="87">
        <v>67865157</v>
      </c>
      <c r="D585" s="89"/>
      <c r="E585" s="89"/>
      <c r="F585" s="92">
        <f t="shared" si="38"/>
        <v>0</v>
      </c>
      <c r="G585" s="92">
        <f t="shared" si="39"/>
        <v>0</v>
      </c>
    </row>
    <row r="586" spans="1:7" ht="24.75" customHeight="1" outlineLevel="3" x14ac:dyDescent="0.25">
      <c r="A586" s="10" t="s">
        <v>59</v>
      </c>
      <c r="B586" s="87">
        <v>5000000</v>
      </c>
      <c r="C586" s="87">
        <v>5000000</v>
      </c>
      <c r="D586" s="89"/>
      <c r="E586" s="89"/>
      <c r="F586" s="92">
        <f t="shared" si="38"/>
        <v>0</v>
      </c>
      <c r="G586" s="92">
        <f t="shared" si="39"/>
        <v>0</v>
      </c>
    </row>
    <row r="587" spans="1:7" s="78" customFormat="1" ht="24" customHeight="1" outlineLevel="2" x14ac:dyDescent="0.25">
      <c r="A587" s="8" t="s">
        <v>54</v>
      </c>
      <c r="B587" s="9">
        <v>24819000</v>
      </c>
      <c r="C587" s="9">
        <v>24819000</v>
      </c>
      <c r="D587" s="9">
        <v>2539159.35</v>
      </c>
      <c r="E587" s="9">
        <v>2539159.35</v>
      </c>
      <c r="F587" s="16">
        <f t="shared" si="38"/>
        <v>0.1023070772392119</v>
      </c>
      <c r="G587" s="16">
        <f t="shared" si="39"/>
        <v>0.1023070772392119</v>
      </c>
    </row>
    <row r="588" spans="1:7" ht="27" customHeight="1" outlineLevel="3" x14ac:dyDescent="0.25">
      <c r="A588" s="10" t="s">
        <v>59</v>
      </c>
      <c r="B588" s="87">
        <v>24819000</v>
      </c>
      <c r="C588" s="87">
        <v>24819000</v>
      </c>
      <c r="D588" s="87">
        <v>2539159.35</v>
      </c>
      <c r="E588" s="87">
        <v>2539159.35</v>
      </c>
      <c r="F588" s="92">
        <f t="shared" si="38"/>
        <v>0.1023070772392119</v>
      </c>
      <c r="G588" s="92">
        <f t="shared" si="39"/>
        <v>0.1023070772392119</v>
      </c>
    </row>
    <row r="589" spans="1:7" ht="18" customHeight="1" x14ac:dyDescent="0.25">
      <c r="A589" s="105" t="s">
        <v>55</v>
      </c>
      <c r="B589" s="90">
        <f>B590+B602+B607+B611+B617</f>
        <v>664960051</v>
      </c>
      <c r="C589" s="90">
        <f>C590+C602+C607+C611+C617</f>
        <v>178943749</v>
      </c>
      <c r="D589" s="90">
        <f t="shared" ref="C589:E589" si="41">D590+D602+D607+D611+D617</f>
        <v>50255695.089999996</v>
      </c>
      <c r="E589" s="90">
        <f t="shared" si="41"/>
        <v>50255695.089999996</v>
      </c>
      <c r="F589" s="91">
        <f t="shared" si="38"/>
        <v>0.28084632947977411</v>
      </c>
      <c r="G589" s="91">
        <f t="shared" si="39"/>
        <v>7.5577014009222038E-2</v>
      </c>
    </row>
    <row r="590" spans="1:7" s="27" customFormat="1" ht="21" customHeight="1" outlineLevel="3" x14ac:dyDescent="0.2">
      <c r="A590" s="24" t="s">
        <v>27</v>
      </c>
      <c r="B590" s="25">
        <f>B591+B594</f>
        <v>362233512</v>
      </c>
      <c r="C590" s="25">
        <f t="shared" ref="C590:E590" si="42">C591+C594</f>
        <v>103333512</v>
      </c>
      <c r="D590" s="25">
        <f t="shared" si="42"/>
        <v>48506088.729999997</v>
      </c>
      <c r="E590" s="25">
        <f t="shared" si="42"/>
        <v>48506088.729999997</v>
      </c>
      <c r="F590" s="26">
        <v>0</v>
      </c>
      <c r="G590" s="26">
        <f t="shared" si="39"/>
        <v>0.13390834123044915</v>
      </c>
    </row>
    <row r="591" spans="1:7" ht="38.1" customHeight="1" outlineLevel="1" x14ac:dyDescent="0.25">
      <c r="A591" s="28" t="s">
        <v>139</v>
      </c>
      <c r="B591" s="93">
        <v>133512</v>
      </c>
      <c r="C591" s="93">
        <v>133512</v>
      </c>
      <c r="D591" s="100"/>
      <c r="E591" s="100"/>
      <c r="F591" s="94">
        <f t="shared" si="38"/>
        <v>0</v>
      </c>
      <c r="G591" s="94">
        <f t="shared" si="39"/>
        <v>0</v>
      </c>
    </row>
    <row r="592" spans="1:7" s="78" customFormat="1" ht="24" outlineLevel="2" x14ac:dyDescent="0.25">
      <c r="A592" s="8" t="s">
        <v>23</v>
      </c>
      <c r="B592" s="9">
        <v>133512</v>
      </c>
      <c r="C592" s="9">
        <v>133512</v>
      </c>
      <c r="D592" s="80"/>
      <c r="E592" s="80"/>
      <c r="F592" s="16">
        <f t="shared" si="38"/>
        <v>0</v>
      </c>
      <c r="G592" s="16">
        <f t="shared" si="39"/>
        <v>0</v>
      </c>
    </row>
    <row r="593" spans="1:7" ht="15" customHeight="1" outlineLevel="3" x14ac:dyDescent="0.25">
      <c r="A593" s="10" t="s">
        <v>34</v>
      </c>
      <c r="B593" s="87">
        <v>133512</v>
      </c>
      <c r="C593" s="87">
        <v>133512</v>
      </c>
      <c r="D593" s="89"/>
      <c r="E593" s="89"/>
      <c r="F593" s="92">
        <f t="shared" si="38"/>
        <v>0</v>
      </c>
      <c r="G593" s="92">
        <f t="shared" si="39"/>
        <v>0</v>
      </c>
    </row>
    <row r="594" spans="1:7" ht="38.25" customHeight="1" outlineLevel="1" x14ac:dyDescent="0.25">
      <c r="A594" s="28" t="s">
        <v>99</v>
      </c>
      <c r="B594" s="93">
        <f>B595+B598+B600</f>
        <v>362100000</v>
      </c>
      <c r="C594" s="93">
        <f t="shared" ref="C594:E594" si="43">C595+C598+C600</f>
        <v>103200000</v>
      </c>
      <c r="D594" s="93">
        <f t="shared" si="43"/>
        <v>48506088.729999997</v>
      </c>
      <c r="E594" s="93">
        <f t="shared" si="43"/>
        <v>48506088.729999997</v>
      </c>
      <c r="F594" s="94">
        <f t="shared" si="38"/>
        <v>0.47002023963178291</v>
      </c>
      <c r="G594" s="94">
        <f t="shared" si="39"/>
        <v>0.13395771535487433</v>
      </c>
    </row>
    <row r="595" spans="1:7" s="78" customFormat="1" ht="27" customHeight="1" outlineLevel="2" x14ac:dyDescent="0.25">
      <c r="A595" s="8" t="s">
        <v>23</v>
      </c>
      <c r="B595" s="9">
        <v>336100000</v>
      </c>
      <c r="C595" s="9">
        <v>103200000</v>
      </c>
      <c r="D595" s="9">
        <v>48506088.729999997</v>
      </c>
      <c r="E595" s="9">
        <v>48506088.729999997</v>
      </c>
      <c r="F595" s="16">
        <f t="shared" si="38"/>
        <v>0.47002023963178291</v>
      </c>
      <c r="G595" s="16">
        <f t="shared" si="39"/>
        <v>0.14432040681344838</v>
      </c>
    </row>
    <row r="596" spans="1:7" ht="13.5" customHeight="1" outlineLevel="3" x14ac:dyDescent="0.25">
      <c r="A596" s="10" t="s">
        <v>58</v>
      </c>
      <c r="B596" s="87">
        <v>190000000</v>
      </c>
      <c r="C596" s="87">
        <v>70000000</v>
      </c>
      <c r="D596" s="87">
        <v>30728730.57</v>
      </c>
      <c r="E596" s="87">
        <v>30728730.57</v>
      </c>
      <c r="F596" s="92">
        <f t="shared" si="38"/>
        <v>0.43898186528571431</v>
      </c>
      <c r="G596" s="92">
        <f t="shared" si="39"/>
        <v>0.16173016089473685</v>
      </c>
    </row>
    <row r="597" spans="1:7" ht="13.5" customHeight="1" outlineLevel="3" x14ac:dyDescent="0.25">
      <c r="A597" s="10" t="s">
        <v>57</v>
      </c>
      <c r="B597" s="87">
        <v>146100000</v>
      </c>
      <c r="C597" s="87">
        <v>33200000</v>
      </c>
      <c r="D597" s="87">
        <v>17777358.16</v>
      </c>
      <c r="E597" s="87">
        <v>17777358.16</v>
      </c>
      <c r="F597" s="92">
        <f t="shared" si="38"/>
        <v>0.53546259518072292</v>
      </c>
      <c r="G597" s="92">
        <f t="shared" si="39"/>
        <v>0.12167938507871322</v>
      </c>
    </row>
    <row r="598" spans="1:7" s="78" customFormat="1" ht="27.75" customHeight="1" outlineLevel="2" x14ac:dyDescent="0.25">
      <c r="A598" s="8" t="s">
        <v>138</v>
      </c>
      <c r="B598" s="9">
        <f>B599</f>
        <v>15000000</v>
      </c>
      <c r="C598" s="9"/>
      <c r="D598" s="80"/>
      <c r="E598" s="80"/>
      <c r="F598" s="16">
        <v>0</v>
      </c>
      <c r="G598" s="16">
        <f t="shared" si="39"/>
        <v>0</v>
      </c>
    </row>
    <row r="599" spans="1:7" ht="15.75" customHeight="1" outlineLevel="3" x14ac:dyDescent="0.25">
      <c r="A599" s="10" t="s">
        <v>57</v>
      </c>
      <c r="B599" s="87">
        <f>1000000+14000000</f>
        <v>15000000</v>
      </c>
      <c r="C599" s="87"/>
      <c r="D599" s="89"/>
      <c r="E599" s="89"/>
      <c r="F599" s="92">
        <v>0</v>
      </c>
      <c r="G599" s="92">
        <f t="shared" si="39"/>
        <v>0</v>
      </c>
    </row>
    <row r="600" spans="1:7" s="78" customFormat="1" ht="15.75" customHeight="1" outlineLevel="2" x14ac:dyDescent="0.25">
      <c r="A600" s="8" t="s">
        <v>36</v>
      </c>
      <c r="B600" s="9">
        <v>11000000</v>
      </c>
      <c r="C600" s="9"/>
      <c r="D600" s="80"/>
      <c r="E600" s="80"/>
      <c r="F600" s="16">
        <v>0</v>
      </c>
      <c r="G600" s="16">
        <f t="shared" si="39"/>
        <v>0</v>
      </c>
    </row>
    <row r="601" spans="1:7" ht="16.5" customHeight="1" outlineLevel="3" x14ac:dyDescent="0.25">
      <c r="A601" s="10" t="s">
        <v>57</v>
      </c>
      <c r="B601" s="87">
        <v>11000000</v>
      </c>
      <c r="C601" s="87"/>
      <c r="D601" s="89"/>
      <c r="E601" s="89"/>
      <c r="F601" s="92">
        <v>0</v>
      </c>
      <c r="G601" s="92">
        <f t="shared" si="39"/>
        <v>0</v>
      </c>
    </row>
    <row r="602" spans="1:7" s="27" customFormat="1" ht="17.25" customHeight="1" outlineLevel="3" x14ac:dyDescent="0.2">
      <c r="A602" s="24" t="s">
        <v>43</v>
      </c>
      <c r="B602" s="25">
        <f>B603</f>
        <v>5227157</v>
      </c>
      <c r="C602" s="25">
        <f t="shared" ref="C602:E602" si="44">C603</f>
        <v>1000000</v>
      </c>
      <c r="D602" s="25">
        <f t="shared" si="44"/>
        <v>0</v>
      </c>
      <c r="E602" s="25">
        <f t="shared" si="44"/>
        <v>0</v>
      </c>
      <c r="F602" s="26">
        <v>0</v>
      </c>
      <c r="G602" s="26">
        <f t="shared" si="39"/>
        <v>0</v>
      </c>
    </row>
    <row r="603" spans="1:7" ht="51" customHeight="1" outlineLevel="1" x14ac:dyDescent="0.25">
      <c r="A603" s="28" t="s">
        <v>100</v>
      </c>
      <c r="B603" s="93">
        <v>5227157</v>
      </c>
      <c r="C603" s="93">
        <v>1000000</v>
      </c>
      <c r="D603" s="100"/>
      <c r="E603" s="100"/>
      <c r="F603" s="94">
        <f t="shared" si="38"/>
        <v>0</v>
      </c>
      <c r="G603" s="94">
        <f t="shared" si="39"/>
        <v>0</v>
      </c>
    </row>
    <row r="604" spans="1:7" s="78" customFormat="1" ht="26.25" customHeight="1" outlineLevel="2" x14ac:dyDescent="0.25">
      <c r="A604" s="8" t="s">
        <v>24</v>
      </c>
      <c r="B604" s="9">
        <v>5227157</v>
      </c>
      <c r="C604" s="9">
        <v>1000000</v>
      </c>
      <c r="D604" s="80"/>
      <c r="E604" s="80"/>
      <c r="F604" s="16">
        <f t="shared" si="38"/>
        <v>0</v>
      </c>
      <c r="G604" s="16">
        <f t="shared" si="39"/>
        <v>0</v>
      </c>
    </row>
    <row r="605" spans="1:7" ht="15.75" customHeight="1" outlineLevel="3" x14ac:dyDescent="0.25">
      <c r="A605" s="10" t="s">
        <v>58</v>
      </c>
      <c r="B605" s="87">
        <v>1000000</v>
      </c>
      <c r="C605" s="87">
        <v>1000000</v>
      </c>
      <c r="D605" s="89"/>
      <c r="E605" s="89"/>
      <c r="F605" s="92">
        <f t="shared" si="38"/>
        <v>0</v>
      </c>
      <c r="G605" s="92">
        <f t="shared" si="39"/>
        <v>0</v>
      </c>
    </row>
    <row r="606" spans="1:7" ht="15.75" customHeight="1" outlineLevel="3" x14ac:dyDescent="0.25">
      <c r="A606" s="10" t="s">
        <v>57</v>
      </c>
      <c r="B606" s="87">
        <v>4227157</v>
      </c>
      <c r="C606" s="87"/>
      <c r="D606" s="89"/>
      <c r="E606" s="89"/>
      <c r="F606" s="92">
        <v>0</v>
      </c>
      <c r="G606" s="92">
        <f t="shared" si="39"/>
        <v>0</v>
      </c>
    </row>
    <row r="607" spans="1:7" ht="18" customHeight="1" outlineLevel="3" x14ac:dyDescent="0.25">
      <c r="A607" s="24" t="s">
        <v>48</v>
      </c>
      <c r="B607" s="25">
        <f>B608</f>
        <v>3500000</v>
      </c>
      <c r="C607" s="25">
        <f t="shared" ref="C607:E607" si="45">C608</f>
        <v>0</v>
      </c>
      <c r="D607" s="25">
        <f t="shared" si="45"/>
        <v>0</v>
      </c>
      <c r="E607" s="25">
        <f t="shared" si="45"/>
        <v>0</v>
      </c>
      <c r="F607" s="26">
        <v>0</v>
      </c>
      <c r="G607" s="26">
        <f t="shared" si="39"/>
        <v>0</v>
      </c>
    </row>
    <row r="608" spans="1:7" ht="42.75" customHeight="1" outlineLevel="1" x14ac:dyDescent="0.25">
      <c r="A608" s="28" t="s">
        <v>101</v>
      </c>
      <c r="B608" s="93">
        <v>3500000</v>
      </c>
      <c r="C608" s="93"/>
      <c r="D608" s="100"/>
      <c r="E608" s="100"/>
      <c r="F608" s="94">
        <v>0</v>
      </c>
      <c r="G608" s="94">
        <f t="shared" si="39"/>
        <v>0</v>
      </c>
    </row>
    <row r="609" spans="1:7" s="78" customFormat="1" ht="27.75" customHeight="1" outlineLevel="2" x14ac:dyDescent="0.25">
      <c r="A609" s="8" t="s">
        <v>138</v>
      </c>
      <c r="B609" s="9">
        <v>3500000</v>
      </c>
      <c r="C609" s="9"/>
      <c r="D609" s="80"/>
      <c r="E609" s="80"/>
      <c r="F609" s="16">
        <v>0</v>
      </c>
      <c r="G609" s="16">
        <f t="shared" si="39"/>
        <v>0</v>
      </c>
    </row>
    <row r="610" spans="1:7" ht="15.75" customHeight="1" outlineLevel="3" x14ac:dyDescent="0.25">
      <c r="A610" s="10" t="s">
        <v>57</v>
      </c>
      <c r="B610" s="87">
        <v>3500000</v>
      </c>
      <c r="C610" s="87"/>
      <c r="D610" s="89"/>
      <c r="E610" s="89"/>
      <c r="F610" s="92">
        <v>0</v>
      </c>
      <c r="G610" s="92">
        <f t="shared" si="39"/>
        <v>0</v>
      </c>
    </row>
    <row r="611" spans="1:7" ht="19.5" customHeight="1" outlineLevel="3" x14ac:dyDescent="0.25">
      <c r="A611" s="24" t="s">
        <v>49</v>
      </c>
      <c r="B611" s="25">
        <f>B612</f>
        <v>41000000</v>
      </c>
      <c r="C611" s="25">
        <f t="shared" ref="C611:E611" si="46">C612</f>
        <v>16000000</v>
      </c>
      <c r="D611" s="25">
        <f t="shared" si="46"/>
        <v>995598.36</v>
      </c>
      <c r="E611" s="25">
        <f t="shared" si="46"/>
        <v>995598.36</v>
      </c>
      <c r="F611" s="39">
        <v>0</v>
      </c>
      <c r="G611" s="39">
        <f t="shared" si="39"/>
        <v>2.4282886829268293E-2</v>
      </c>
    </row>
    <row r="612" spans="1:7" ht="45.75" customHeight="1" outlineLevel="1" x14ac:dyDescent="0.25">
      <c r="A612" s="28" t="s">
        <v>102</v>
      </c>
      <c r="B612" s="93">
        <v>41000000</v>
      </c>
      <c r="C612" s="93">
        <v>16000000</v>
      </c>
      <c r="D612" s="93">
        <v>995598.36</v>
      </c>
      <c r="E612" s="93">
        <v>995598.36</v>
      </c>
      <c r="F612" s="94">
        <f t="shared" si="38"/>
        <v>6.2224897500000001E-2</v>
      </c>
      <c r="G612" s="94">
        <f t="shared" si="39"/>
        <v>2.4282886829268293E-2</v>
      </c>
    </row>
    <row r="613" spans="1:7" s="78" customFormat="1" ht="15" customHeight="1" outlineLevel="2" x14ac:dyDescent="0.25">
      <c r="A613" s="8" t="s">
        <v>50</v>
      </c>
      <c r="B613" s="9">
        <v>40000000</v>
      </c>
      <c r="C613" s="9">
        <v>15000000</v>
      </c>
      <c r="D613" s="80"/>
      <c r="E613" s="80"/>
      <c r="F613" s="16">
        <f t="shared" si="38"/>
        <v>0</v>
      </c>
      <c r="G613" s="16">
        <f t="shared" si="39"/>
        <v>0</v>
      </c>
    </row>
    <row r="614" spans="1:7" ht="15" customHeight="1" outlineLevel="3" x14ac:dyDescent="0.25">
      <c r="A614" s="10" t="s">
        <v>57</v>
      </c>
      <c r="B614" s="87">
        <v>40000000</v>
      </c>
      <c r="C614" s="87">
        <v>15000000</v>
      </c>
      <c r="D614" s="89"/>
      <c r="E614" s="89"/>
      <c r="F614" s="92">
        <f t="shared" si="38"/>
        <v>0</v>
      </c>
      <c r="G614" s="92">
        <f t="shared" si="39"/>
        <v>0</v>
      </c>
    </row>
    <row r="615" spans="1:7" s="78" customFormat="1" ht="15" customHeight="1" outlineLevel="2" x14ac:dyDescent="0.25">
      <c r="A615" s="8" t="s">
        <v>51</v>
      </c>
      <c r="B615" s="9">
        <v>1000000</v>
      </c>
      <c r="C615" s="9">
        <v>1000000</v>
      </c>
      <c r="D615" s="9">
        <v>995598.36</v>
      </c>
      <c r="E615" s="9">
        <v>995598.36</v>
      </c>
      <c r="F615" s="16">
        <f t="shared" si="38"/>
        <v>0.99559836000000002</v>
      </c>
      <c r="G615" s="16">
        <f t="shared" si="39"/>
        <v>0.99559836000000002</v>
      </c>
    </row>
    <row r="616" spans="1:7" ht="15" customHeight="1" outlineLevel="3" x14ac:dyDescent="0.25">
      <c r="A616" s="10" t="s">
        <v>57</v>
      </c>
      <c r="B616" s="87">
        <v>1000000</v>
      </c>
      <c r="C616" s="87">
        <v>1000000</v>
      </c>
      <c r="D616" s="87">
        <v>995598.36</v>
      </c>
      <c r="E616" s="87">
        <v>995598.36</v>
      </c>
      <c r="F616" s="92">
        <f t="shared" si="38"/>
        <v>0.99559836000000002</v>
      </c>
      <c r="G616" s="92">
        <f t="shared" si="39"/>
        <v>0.99559836000000002</v>
      </c>
    </row>
    <row r="617" spans="1:7" ht="16.5" customHeight="1" outlineLevel="3" x14ac:dyDescent="0.25">
      <c r="A617" s="24" t="s">
        <v>53</v>
      </c>
      <c r="B617" s="25">
        <f>B618+B633+B638</f>
        <v>252999382</v>
      </c>
      <c r="C617" s="25">
        <f t="shared" ref="C617:E617" si="47">C618+C633+C638</f>
        <v>58610237</v>
      </c>
      <c r="D617" s="25">
        <f t="shared" si="47"/>
        <v>754008</v>
      </c>
      <c r="E617" s="25">
        <f t="shared" si="47"/>
        <v>754008</v>
      </c>
      <c r="F617" s="26">
        <f t="shared" si="38"/>
        <v>1.2864783331280506E-2</v>
      </c>
      <c r="G617" s="26">
        <f t="shared" si="39"/>
        <v>2.9802760545873585E-3</v>
      </c>
    </row>
    <row r="618" spans="1:7" ht="41.25" customHeight="1" outlineLevel="1" x14ac:dyDescent="0.25">
      <c r="A618" s="28" t="s">
        <v>119</v>
      </c>
      <c r="B618" s="93">
        <v>214431029</v>
      </c>
      <c r="C618" s="93">
        <v>23136612</v>
      </c>
      <c r="D618" s="93">
        <v>568176</v>
      </c>
      <c r="E618" s="93">
        <v>568176</v>
      </c>
      <c r="F618" s="94">
        <f t="shared" si="38"/>
        <v>2.4557441685930506E-2</v>
      </c>
      <c r="G618" s="94">
        <f t="shared" si="39"/>
        <v>2.6496911508082162E-3</v>
      </c>
    </row>
    <row r="619" spans="1:7" s="78" customFormat="1" ht="14.25" customHeight="1" outlineLevel="2" x14ac:dyDescent="0.25">
      <c r="A619" s="8" t="s">
        <v>120</v>
      </c>
      <c r="B619" s="9">
        <v>699990</v>
      </c>
      <c r="C619" s="9"/>
      <c r="D619" s="80"/>
      <c r="E619" s="80"/>
      <c r="F619" s="16">
        <v>0</v>
      </c>
      <c r="G619" s="16">
        <f t="shared" si="39"/>
        <v>0</v>
      </c>
    </row>
    <row r="620" spans="1:7" ht="27" customHeight="1" outlineLevel="3" x14ac:dyDescent="0.25">
      <c r="A620" s="10" t="s">
        <v>59</v>
      </c>
      <c r="B620" s="87">
        <v>699990</v>
      </c>
      <c r="C620" s="87"/>
      <c r="D620" s="89"/>
      <c r="E620" s="89"/>
      <c r="F620" s="92">
        <v>0</v>
      </c>
      <c r="G620" s="92">
        <f t="shared" si="39"/>
        <v>0</v>
      </c>
    </row>
    <row r="621" spans="1:7" s="78" customFormat="1" ht="27" customHeight="1" outlineLevel="2" x14ac:dyDescent="0.25">
      <c r="A621" s="8" t="s">
        <v>104</v>
      </c>
      <c r="B621" s="9">
        <v>1241802</v>
      </c>
      <c r="C621" s="9"/>
      <c r="D621" s="80"/>
      <c r="E621" s="80"/>
      <c r="F621" s="16">
        <v>0</v>
      </c>
      <c r="G621" s="16">
        <f t="shared" si="39"/>
        <v>0</v>
      </c>
    </row>
    <row r="622" spans="1:7" ht="27" customHeight="1" outlineLevel="3" x14ac:dyDescent="0.25">
      <c r="A622" s="10" t="s">
        <v>59</v>
      </c>
      <c r="B622" s="87">
        <v>1241802</v>
      </c>
      <c r="C622" s="87"/>
      <c r="D622" s="89"/>
      <c r="E622" s="89"/>
      <c r="F622" s="92">
        <v>0</v>
      </c>
      <c r="G622" s="92">
        <f t="shared" si="39"/>
        <v>0</v>
      </c>
    </row>
    <row r="623" spans="1:7" s="78" customFormat="1" ht="27" customHeight="1" outlineLevel="2" x14ac:dyDescent="0.25">
      <c r="A623" s="8" t="s">
        <v>61</v>
      </c>
      <c r="B623" s="9">
        <v>2699990</v>
      </c>
      <c r="C623" s="9"/>
      <c r="D623" s="80"/>
      <c r="E623" s="80"/>
      <c r="F623" s="16">
        <v>0</v>
      </c>
      <c r="G623" s="16">
        <f t="shared" si="39"/>
        <v>0</v>
      </c>
    </row>
    <row r="624" spans="1:7" ht="27" customHeight="1" outlineLevel="3" x14ac:dyDescent="0.25">
      <c r="A624" s="10" t="s">
        <v>59</v>
      </c>
      <c r="B624" s="87">
        <v>2699990</v>
      </c>
      <c r="C624" s="87"/>
      <c r="D624" s="89"/>
      <c r="E624" s="89"/>
      <c r="F624" s="92">
        <v>0</v>
      </c>
      <c r="G624" s="92">
        <f t="shared" ref="G624:G640" si="48">D624/B624</f>
        <v>0</v>
      </c>
    </row>
    <row r="625" spans="1:7" s="78" customFormat="1" ht="27" customHeight="1" outlineLevel="2" x14ac:dyDescent="0.25">
      <c r="A625" s="8" t="s">
        <v>60</v>
      </c>
      <c r="B625" s="9">
        <v>598380</v>
      </c>
      <c r="C625" s="9"/>
      <c r="D625" s="80"/>
      <c r="E625" s="80"/>
      <c r="F625" s="16">
        <v>0</v>
      </c>
      <c r="G625" s="16">
        <f t="shared" si="48"/>
        <v>0</v>
      </c>
    </row>
    <row r="626" spans="1:7" ht="27" customHeight="1" outlineLevel="3" x14ac:dyDescent="0.25">
      <c r="A626" s="10" t="s">
        <v>59</v>
      </c>
      <c r="B626" s="87">
        <v>598380</v>
      </c>
      <c r="C626" s="87"/>
      <c r="D626" s="89"/>
      <c r="E626" s="89"/>
      <c r="F626" s="92">
        <v>0</v>
      </c>
      <c r="G626" s="92">
        <f t="shared" si="48"/>
        <v>0</v>
      </c>
    </row>
    <row r="627" spans="1:7" s="78" customFormat="1" ht="14.25" customHeight="1" outlineLevel="2" x14ac:dyDescent="0.25">
      <c r="A627" s="8" t="s">
        <v>105</v>
      </c>
      <c r="B627" s="9">
        <v>699986</v>
      </c>
      <c r="C627" s="9"/>
      <c r="D627" s="80"/>
      <c r="E627" s="80"/>
      <c r="F627" s="16">
        <v>0</v>
      </c>
      <c r="G627" s="16">
        <f t="shared" si="48"/>
        <v>0</v>
      </c>
    </row>
    <row r="628" spans="1:7" ht="27" customHeight="1" outlineLevel="3" x14ac:dyDescent="0.25">
      <c r="A628" s="10" t="s">
        <v>59</v>
      </c>
      <c r="B628" s="87">
        <v>699986</v>
      </c>
      <c r="C628" s="87"/>
      <c r="D628" s="89"/>
      <c r="E628" s="89"/>
      <c r="F628" s="92">
        <v>0</v>
      </c>
      <c r="G628" s="92">
        <f t="shared" si="48"/>
        <v>0</v>
      </c>
    </row>
    <row r="629" spans="1:7" s="78" customFormat="1" ht="24" customHeight="1" outlineLevel="2" x14ac:dyDescent="0.25">
      <c r="A629" s="8" t="s">
        <v>137</v>
      </c>
      <c r="B629" s="9">
        <v>19550000</v>
      </c>
      <c r="C629" s="9">
        <v>222222</v>
      </c>
      <c r="D629" s="80"/>
      <c r="E629" s="80"/>
      <c r="F629" s="16">
        <f t="shared" ref="F629:F640" si="49">D629/C629</f>
        <v>0</v>
      </c>
      <c r="G629" s="16">
        <f t="shared" si="48"/>
        <v>0</v>
      </c>
    </row>
    <row r="630" spans="1:7" ht="26.25" customHeight="1" outlineLevel="3" x14ac:dyDescent="0.25">
      <c r="A630" s="10" t="s">
        <v>59</v>
      </c>
      <c r="B630" s="87">
        <v>19550000</v>
      </c>
      <c r="C630" s="87">
        <v>222222</v>
      </c>
      <c r="D630" s="89"/>
      <c r="E630" s="89"/>
      <c r="F630" s="92">
        <f t="shared" si="49"/>
        <v>0</v>
      </c>
      <c r="G630" s="92">
        <f t="shared" si="48"/>
        <v>0</v>
      </c>
    </row>
    <row r="631" spans="1:7" s="78" customFormat="1" ht="24" customHeight="1" outlineLevel="2" x14ac:dyDescent="0.25">
      <c r="A631" s="8" t="s">
        <v>54</v>
      </c>
      <c r="B631" s="9">
        <v>188940881</v>
      </c>
      <c r="C631" s="9">
        <v>22914390</v>
      </c>
      <c r="D631" s="9">
        <v>568176</v>
      </c>
      <c r="E631" s="9">
        <v>568176</v>
      </c>
      <c r="F631" s="16">
        <f t="shared" si="49"/>
        <v>2.4795597875396203E-2</v>
      </c>
      <c r="G631" s="16">
        <f t="shared" si="48"/>
        <v>3.0071628595825166E-3</v>
      </c>
    </row>
    <row r="632" spans="1:7" ht="26.25" customHeight="1" outlineLevel="3" x14ac:dyDescent="0.25">
      <c r="A632" s="10" t="s">
        <v>59</v>
      </c>
      <c r="B632" s="87">
        <v>188940881</v>
      </c>
      <c r="C632" s="87">
        <v>22914390</v>
      </c>
      <c r="D632" s="87">
        <v>568176</v>
      </c>
      <c r="E632" s="87">
        <v>568176</v>
      </c>
      <c r="F632" s="92">
        <f t="shared" si="49"/>
        <v>2.4795597875396203E-2</v>
      </c>
      <c r="G632" s="92">
        <f t="shared" si="48"/>
        <v>3.0071628595825166E-3</v>
      </c>
    </row>
    <row r="633" spans="1:7" ht="43.5" customHeight="1" outlineLevel="1" x14ac:dyDescent="0.25">
      <c r="A633" s="28" t="s">
        <v>103</v>
      </c>
      <c r="B633" s="93">
        <v>18568353</v>
      </c>
      <c r="C633" s="93">
        <v>15473625</v>
      </c>
      <c r="D633" s="93">
        <v>185832</v>
      </c>
      <c r="E633" s="93">
        <v>185832</v>
      </c>
      <c r="F633" s="94">
        <f t="shared" si="49"/>
        <v>1.2009596975498631E-2</v>
      </c>
      <c r="G633" s="94">
        <f t="shared" si="48"/>
        <v>1.0007995862637897E-2</v>
      </c>
    </row>
    <row r="634" spans="1:7" ht="28.5" customHeight="1" outlineLevel="2" x14ac:dyDescent="0.25">
      <c r="A634" s="5" t="s">
        <v>121</v>
      </c>
      <c r="B634" s="6">
        <v>1710200</v>
      </c>
      <c r="C634" s="6"/>
      <c r="D634" s="15"/>
      <c r="E634" s="15"/>
      <c r="F634" s="7">
        <v>0</v>
      </c>
      <c r="G634" s="7">
        <f t="shared" si="48"/>
        <v>0</v>
      </c>
    </row>
    <row r="635" spans="1:7" ht="27" customHeight="1" outlineLevel="3" x14ac:dyDescent="0.25">
      <c r="A635" s="10" t="s">
        <v>59</v>
      </c>
      <c r="B635" s="87">
        <v>1710200</v>
      </c>
      <c r="C635" s="87"/>
      <c r="D635" s="89"/>
      <c r="E635" s="89"/>
      <c r="F635" s="92">
        <v>0</v>
      </c>
      <c r="G635" s="92">
        <f t="shared" si="48"/>
        <v>0</v>
      </c>
    </row>
    <row r="636" spans="1:7" ht="29.25" customHeight="1" outlineLevel="2" x14ac:dyDescent="0.25">
      <c r="A636" s="5" t="s">
        <v>54</v>
      </c>
      <c r="B636" s="6">
        <v>16858153</v>
      </c>
      <c r="C636" s="6">
        <v>15473625</v>
      </c>
      <c r="D636" s="6">
        <v>185832</v>
      </c>
      <c r="E636" s="6">
        <v>185832</v>
      </c>
      <c r="F636" s="7">
        <f t="shared" si="49"/>
        <v>1.2009596975498631E-2</v>
      </c>
      <c r="G636" s="7">
        <f t="shared" si="48"/>
        <v>1.1023271647848967E-2</v>
      </c>
    </row>
    <row r="637" spans="1:7" ht="27" customHeight="1" outlineLevel="3" x14ac:dyDescent="0.25">
      <c r="A637" s="10" t="s">
        <v>59</v>
      </c>
      <c r="B637" s="87">
        <v>16858153</v>
      </c>
      <c r="C637" s="87">
        <v>15473625</v>
      </c>
      <c r="D637" s="87">
        <v>185832</v>
      </c>
      <c r="E637" s="87">
        <v>185832</v>
      </c>
      <c r="F637" s="92">
        <f t="shared" si="49"/>
        <v>1.2009596975498631E-2</v>
      </c>
      <c r="G637" s="92">
        <f t="shared" si="48"/>
        <v>1.1023271647848967E-2</v>
      </c>
    </row>
    <row r="638" spans="1:7" ht="22.5" customHeight="1" outlineLevel="1" x14ac:dyDescent="0.25">
      <c r="A638" s="28" t="s">
        <v>122</v>
      </c>
      <c r="B638" s="93">
        <v>20000000</v>
      </c>
      <c r="C638" s="93">
        <v>20000000</v>
      </c>
      <c r="D638" s="100"/>
      <c r="E638" s="100"/>
      <c r="F638" s="94">
        <f t="shared" si="49"/>
        <v>0</v>
      </c>
      <c r="G638" s="94">
        <f t="shared" si="48"/>
        <v>0</v>
      </c>
    </row>
    <row r="639" spans="1:7" ht="28.5" customHeight="1" outlineLevel="2" x14ac:dyDescent="0.25">
      <c r="A639" s="5" t="s">
        <v>137</v>
      </c>
      <c r="B639" s="6">
        <v>20000000</v>
      </c>
      <c r="C639" s="6">
        <v>20000000</v>
      </c>
      <c r="D639" s="15"/>
      <c r="E639" s="15"/>
      <c r="F639" s="7">
        <f t="shared" si="49"/>
        <v>0</v>
      </c>
      <c r="G639" s="7">
        <f t="shared" si="48"/>
        <v>0</v>
      </c>
    </row>
    <row r="640" spans="1:7" ht="28.5" customHeight="1" outlineLevel="3" x14ac:dyDescent="0.25">
      <c r="A640" s="10" t="s">
        <v>59</v>
      </c>
      <c r="B640" s="87">
        <v>20000000</v>
      </c>
      <c r="C640" s="87">
        <v>20000000</v>
      </c>
      <c r="D640" s="89"/>
      <c r="E640" s="89"/>
      <c r="F640" s="92">
        <f t="shared" si="49"/>
        <v>0</v>
      </c>
      <c r="G640" s="92">
        <f t="shared" si="48"/>
        <v>0</v>
      </c>
    </row>
  </sheetData>
  <mergeCells count="7">
    <mergeCell ref="G2:G5"/>
    <mergeCell ref="A1:G1"/>
    <mergeCell ref="E2:E5"/>
    <mergeCell ref="F2:F5"/>
    <mergeCell ref="B2:B5"/>
    <mergeCell ref="C2:C5"/>
    <mergeCell ref="D2:D5"/>
  </mergeCells>
  <pageMargins left="0.11811023622047245" right="0.11811023622047245" top="0.15748031496062992" bottom="0.15748031496062992" header="0.31496062992125984" footer="0.31496062992125984"/>
  <pageSetup paperSize="9" scale="9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3</vt:i4>
      </vt:variant>
    </vt:vector>
  </HeadingPairs>
  <TitlesOfParts>
    <vt:vector size="8" baseType="lpstr">
      <vt:lpstr>СІЧЕНЬ</vt:lpstr>
      <vt:lpstr>СІЧЕНЬ_ЛЮТИЙ</vt:lpstr>
      <vt:lpstr>СІЧЕНЬ_БЕРЕЗЕНЬ</vt:lpstr>
      <vt:lpstr>СІЧЕНЬ-КВІТЕНЬ</vt:lpstr>
      <vt:lpstr>СІЧЕНЬ-ТРАВЕНЬ</vt:lpstr>
      <vt:lpstr>СІЧЕНЬ_БЕРЕЗЕНЬ!Область_друку</vt:lpstr>
      <vt:lpstr>СІЧЕНЬ_ЛЮТИЙ!Область_друку</vt:lpstr>
      <vt:lpstr>'СІЧЕНЬ-КВІТЕНЬ'!Область_друку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Ващенко Віта Володимирівна</dc:creator>
  <cp:lastModifiedBy>Ващенко Віта Володимирівна</cp:lastModifiedBy>
  <cp:lastPrinted>2026-06-02T05:02:37Z</cp:lastPrinted>
  <dcterms:created xsi:type="dcterms:W3CDTF">2025-07-01T11:09:45Z</dcterms:created>
  <dcterms:modified xsi:type="dcterms:W3CDTF">2026-06-02T08:51:40Z</dcterms:modified>
</cp:coreProperties>
</file>