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ЗВІТ НА САЙТ\"/>
    </mc:Choice>
  </mc:AlternateContent>
  <xr:revisionPtr revIDLastSave="0" documentId="13_ncr:1_{DDCB5388-98B6-4FFD-946B-62D21762C365}" xr6:coauthVersionLast="47" xr6:coauthVersionMax="47" xr10:uidLastSave="{00000000-0000-0000-0000-000000000000}"/>
  <bookViews>
    <workbookView xWindow="3165" yWindow="60" windowWidth="24510" windowHeight="15270" xr2:uid="{21113805-7C77-4E56-B795-998699BA06DB}"/>
  </bookViews>
  <sheets>
    <sheet name="І ПІВРІЧЧЯ" sheetId="2" r:id="rId1"/>
    <sheet name="І КВАРТАЛ" sheetId="1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1" i="2" l="1"/>
  <c r="G740" i="2"/>
  <c r="G739" i="2"/>
  <c r="G738" i="2"/>
  <c r="G737" i="2"/>
  <c r="G736" i="2"/>
  <c r="F736" i="2"/>
  <c r="G735" i="2"/>
  <c r="F735" i="2"/>
  <c r="G734" i="2"/>
  <c r="F734" i="2"/>
  <c r="G733" i="2"/>
  <c r="F733" i="2"/>
  <c r="G732" i="2"/>
  <c r="F732" i="2"/>
  <c r="G731" i="2"/>
  <c r="F731" i="2"/>
  <c r="G730" i="2"/>
  <c r="F730" i="2"/>
  <c r="G729" i="2"/>
  <c r="F729" i="2"/>
  <c r="G728" i="2"/>
  <c r="F728" i="2"/>
  <c r="G727" i="2"/>
  <c r="F727" i="2"/>
  <c r="G726" i="2"/>
  <c r="F726" i="2"/>
  <c r="G725" i="2"/>
  <c r="F725" i="2"/>
  <c r="G724" i="2"/>
  <c r="F724" i="2"/>
  <c r="G723" i="2"/>
  <c r="F723" i="2"/>
  <c r="G722" i="2"/>
  <c r="F722" i="2"/>
  <c r="G721" i="2"/>
  <c r="G720" i="2"/>
  <c r="G719" i="2"/>
  <c r="F719" i="2"/>
  <c r="G718" i="2"/>
  <c r="F718" i="2"/>
  <c r="G717" i="2"/>
  <c r="F717" i="2"/>
  <c r="G716" i="2"/>
  <c r="F716" i="2"/>
  <c r="G715" i="2"/>
  <c r="F715" i="2"/>
  <c r="G714" i="2"/>
  <c r="F714" i="2"/>
  <c r="G713" i="2"/>
  <c r="G712" i="2"/>
  <c r="G711" i="2"/>
  <c r="F711" i="2"/>
  <c r="G710" i="2"/>
  <c r="F710" i="2"/>
  <c r="G709" i="2"/>
  <c r="G708" i="2"/>
  <c r="G707" i="2"/>
  <c r="F707" i="2"/>
  <c r="G706" i="2"/>
  <c r="F706" i="2"/>
  <c r="G705" i="2"/>
  <c r="F705" i="2"/>
  <c r="G704" i="2"/>
  <c r="G703" i="2"/>
  <c r="G702" i="2"/>
  <c r="G701" i="2"/>
  <c r="F701" i="2"/>
  <c r="G700" i="2"/>
  <c r="F700" i="2"/>
  <c r="G699" i="2"/>
  <c r="F699" i="2"/>
  <c r="G698" i="2"/>
  <c r="F698" i="2"/>
  <c r="G697" i="2"/>
  <c r="F697" i="2"/>
  <c r="G696" i="2"/>
  <c r="F696" i="2"/>
  <c r="G695" i="2"/>
  <c r="G694" i="2"/>
  <c r="G693" i="2"/>
  <c r="F693" i="2"/>
  <c r="G692" i="2"/>
  <c r="F692" i="2"/>
  <c r="G691" i="2"/>
  <c r="G690" i="2"/>
  <c r="G689" i="2"/>
  <c r="F689" i="2"/>
  <c r="G688" i="2"/>
  <c r="F688" i="2"/>
  <c r="G687" i="2"/>
  <c r="F687" i="2"/>
  <c r="G686" i="2"/>
  <c r="F686" i="2"/>
  <c r="F685" i="2"/>
  <c r="E685" i="2"/>
  <c r="D685" i="2"/>
  <c r="D684" i="2" s="1"/>
  <c r="C685" i="2"/>
  <c r="B685" i="2"/>
  <c r="E684" i="2"/>
  <c r="C684" i="2"/>
  <c r="B684" i="2"/>
  <c r="G683" i="2"/>
  <c r="F683" i="2"/>
  <c r="G682" i="2"/>
  <c r="F682" i="2"/>
  <c r="G681" i="2"/>
  <c r="G680" i="2"/>
  <c r="G679" i="2"/>
  <c r="G678" i="2"/>
  <c r="F678" i="2"/>
  <c r="G677" i="2"/>
  <c r="F677" i="2"/>
  <c r="F676" i="2"/>
  <c r="B676" i="2"/>
  <c r="B675" i="2" s="1"/>
  <c r="G675" i="2" s="1"/>
  <c r="F675" i="2"/>
  <c r="E675" i="2"/>
  <c r="D675" i="2"/>
  <c r="C675" i="2"/>
  <c r="G674" i="2"/>
  <c r="F674" i="2"/>
  <c r="G673" i="2"/>
  <c r="C673" i="2"/>
  <c r="F673" i="2" s="1"/>
  <c r="G672" i="2"/>
  <c r="F672" i="2"/>
  <c r="C672" i="2"/>
  <c r="G671" i="2"/>
  <c r="F671" i="2"/>
  <c r="G670" i="2"/>
  <c r="F670" i="2"/>
  <c r="G669" i="2"/>
  <c r="F669" i="2"/>
  <c r="C669" i="2"/>
  <c r="G668" i="2"/>
  <c r="C668" i="2"/>
  <c r="F668" i="2" s="1"/>
  <c r="G667" i="2"/>
  <c r="F667" i="2"/>
  <c r="G666" i="2"/>
  <c r="F666" i="2"/>
  <c r="G665" i="2"/>
  <c r="C665" i="2"/>
  <c r="F665" i="2" s="1"/>
  <c r="G664" i="2"/>
  <c r="E663" i="2"/>
  <c r="D663" i="2"/>
  <c r="G663" i="2" s="1"/>
  <c r="B663" i="2"/>
  <c r="G662" i="2"/>
  <c r="F662" i="2"/>
  <c r="G661" i="2"/>
  <c r="F661" i="2"/>
  <c r="G660" i="2"/>
  <c r="F660" i="2"/>
  <c r="G659" i="2"/>
  <c r="F659" i="2"/>
  <c r="G658" i="2"/>
  <c r="F658" i="2"/>
  <c r="G657" i="2"/>
  <c r="F657" i="2"/>
  <c r="G656" i="2"/>
  <c r="F656" i="2"/>
  <c r="E655" i="2"/>
  <c r="D655" i="2"/>
  <c r="F655" i="2" s="1"/>
  <c r="C655" i="2"/>
  <c r="B655" i="2"/>
  <c r="G655" i="2" s="1"/>
  <c r="G654" i="2"/>
  <c r="F654" i="2"/>
  <c r="G653" i="2"/>
  <c r="F653" i="2"/>
  <c r="G652" i="2"/>
  <c r="F652" i="2"/>
  <c r="G651" i="2"/>
  <c r="F651" i="2"/>
  <c r="G650" i="2"/>
  <c r="F650" i="2"/>
  <c r="G649" i="2"/>
  <c r="F649" i="2"/>
  <c r="G648" i="2"/>
  <c r="F648" i="2"/>
  <c r="G647" i="2"/>
  <c r="F647" i="2"/>
  <c r="G646" i="2"/>
  <c r="F646" i="2"/>
  <c r="G645" i="2"/>
  <c r="F645" i="2"/>
  <c r="G644" i="2"/>
  <c r="F644" i="2"/>
  <c r="G643" i="2"/>
  <c r="F643" i="2"/>
  <c r="G642" i="2"/>
  <c r="F642" i="2"/>
  <c r="G641" i="2"/>
  <c r="G640" i="2"/>
  <c r="G639" i="2"/>
  <c r="G638" i="2"/>
  <c r="F638" i="2"/>
  <c r="G637" i="2"/>
  <c r="F637" i="2"/>
  <c r="G636" i="2"/>
  <c r="F636" i="2"/>
  <c r="G635" i="2"/>
  <c r="G634" i="2"/>
  <c r="G633" i="2"/>
  <c r="G632" i="2"/>
  <c r="G631" i="2"/>
  <c r="G630" i="2"/>
  <c r="G629" i="2"/>
  <c r="G628" i="2"/>
  <c r="F628" i="2"/>
  <c r="G627" i="2"/>
  <c r="F627" i="2"/>
  <c r="G626" i="2"/>
  <c r="F626" i="2"/>
  <c r="G625" i="2"/>
  <c r="F625" i="2"/>
  <c r="G624" i="2"/>
  <c r="F624" i="2"/>
  <c r="G623" i="2"/>
  <c r="F623" i="2"/>
  <c r="G622" i="2"/>
  <c r="F622" i="2"/>
  <c r="G621" i="2"/>
  <c r="F621" i="2"/>
  <c r="G620" i="2"/>
  <c r="F620" i="2"/>
  <c r="G619" i="2"/>
  <c r="F619" i="2"/>
  <c r="G618" i="2"/>
  <c r="F618" i="2"/>
  <c r="G617" i="2"/>
  <c r="F617" i="2"/>
  <c r="G616" i="2"/>
  <c r="F616" i="2"/>
  <c r="G615" i="2"/>
  <c r="F615" i="2"/>
  <c r="G614" i="2"/>
  <c r="F614" i="2"/>
  <c r="G613" i="2"/>
  <c r="F613" i="2"/>
  <c r="G612" i="2"/>
  <c r="F612" i="2"/>
  <c r="G611" i="2"/>
  <c r="F611" i="2"/>
  <c r="G610" i="2"/>
  <c r="F610" i="2"/>
  <c r="G609" i="2"/>
  <c r="F609" i="2"/>
  <c r="G608" i="2"/>
  <c r="F608" i="2"/>
  <c r="G607" i="2"/>
  <c r="F607" i="2"/>
  <c r="G606" i="2"/>
  <c r="F606" i="2"/>
  <c r="G605" i="2"/>
  <c r="F605" i="2"/>
  <c r="G604" i="2"/>
  <c r="F604" i="2"/>
  <c r="G603" i="2"/>
  <c r="F603" i="2"/>
  <c r="C602" i="2"/>
  <c r="C601" i="2" s="1"/>
  <c r="C573" i="2" s="1"/>
  <c r="B602" i="2"/>
  <c r="B601" i="2" s="1"/>
  <c r="E601" i="2"/>
  <c r="D601" i="2"/>
  <c r="F601" i="2" s="1"/>
  <c r="G600" i="2"/>
  <c r="F600" i="2"/>
  <c r="G599" i="2"/>
  <c r="F599" i="2"/>
  <c r="G598" i="2"/>
  <c r="G597" i="2"/>
  <c r="G596" i="2"/>
  <c r="G595" i="2"/>
  <c r="G594" i="2"/>
  <c r="F594" i="2"/>
  <c r="G593" i="2"/>
  <c r="G592" i="2"/>
  <c r="G591" i="2"/>
  <c r="G590" i="2"/>
  <c r="G589" i="2"/>
  <c r="G588" i="2"/>
  <c r="G587" i="2"/>
  <c r="G586" i="2"/>
  <c r="G585" i="2"/>
  <c r="F585" i="2"/>
  <c r="G584" i="2"/>
  <c r="F584" i="2"/>
  <c r="G583" i="2"/>
  <c r="G582" i="2"/>
  <c r="G581" i="2"/>
  <c r="G580" i="2"/>
  <c r="G579" i="2"/>
  <c r="F579" i="2"/>
  <c r="G578" i="2"/>
  <c r="F578" i="2"/>
  <c r="G577" i="2"/>
  <c r="F577" i="2"/>
  <c r="G576" i="2"/>
  <c r="F576" i="2"/>
  <c r="G575" i="2"/>
  <c r="F575" i="2"/>
  <c r="G574" i="2"/>
  <c r="F574" i="2"/>
  <c r="E573" i="2"/>
  <c r="D573" i="2"/>
  <c r="G572" i="2"/>
  <c r="F572" i="2"/>
  <c r="G571" i="2"/>
  <c r="F571" i="2"/>
  <c r="G570" i="2"/>
  <c r="F570" i="2"/>
  <c r="G569" i="2"/>
  <c r="F569" i="2"/>
  <c r="G568" i="2"/>
  <c r="F568" i="2"/>
  <c r="G567" i="2"/>
  <c r="F567" i="2"/>
  <c r="G566" i="2"/>
  <c r="F566" i="2"/>
  <c r="G565" i="2"/>
  <c r="F565" i="2"/>
  <c r="G564" i="2"/>
  <c r="F564" i="2"/>
  <c r="G563" i="2"/>
  <c r="F563" i="2"/>
  <c r="G562" i="2"/>
  <c r="F562" i="2"/>
  <c r="G561" i="2"/>
  <c r="E561" i="2"/>
  <c r="E560" i="2" s="1"/>
  <c r="D561" i="2"/>
  <c r="F561" i="2" s="1"/>
  <c r="C561" i="2"/>
  <c r="B561" i="2"/>
  <c r="G559" i="2"/>
  <c r="G558" i="2"/>
  <c r="G557" i="2"/>
  <c r="G556" i="2"/>
  <c r="G555" i="2"/>
  <c r="G554" i="2"/>
  <c r="E553" i="2"/>
  <c r="D553" i="2"/>
  <c r="D552" i="2" s="1"/>
  <c r="G552" i="2" s="1"/>
  <c r="C553" i="2"/>
  <c r="C552" i="2" s="1"/>
  <c r="B553" i="2"/>
  <c r="B552" i="2" s="1"/>
  <c r="B6" i="2" s="1"/>
  <c r="E552" i="2"/>
  <c r="G551" i="2"/>
  <c r="F551" i="2"/>
  <c r="G550" i="2"/>
  <c r="F550" i="2"/>
  <c r="G549" i="2"/>
  <c r="F549" i="2"/>
  <c r="G548" i="2"/>
  <c r="F548" i="2"/>
  <c r="E548" i="2"/>
  <c r="D548" i="2"/>
  <c r="C548" i="2"/>
  <c r="B548" i="2"/>
  <c r="G547" i="2"/>
  <c r="F547" i="2"/>
  <c r="G546" i="2"/>
  <c r="F546" i="2"/>
  <c r="G545" i="2"/>
  <c r="F545" i="2"/>
  <c r="G544" i="2"/>
  <c r="F544" i="2"/>
  <c r="G543" i="2"/>
  <c r="F543" i="2"/>
  <c r="G542" i="2"/>
  <c r="F542" i="2"/>
  <c r="G541" i="2"/>
  <c r="F541" i="2"/>
  <c r="G540" i="2"/>
  <c r="F540" i="2"/>
  <c r="G539" i="2"/>
  <c r="F539" i="2"/>
  <c r="G538" i="2"/>
  <c r="F538" i="2"/>
  <c r="G537" i="2"/>
  <c r="F537" i="2"/>
  <c r="G536" i="2"/>
  <c r="F536" i="2"/>
  <c r="G535" i="2"/>
  <c r="F535" i="2"/>
  <c r="G534" i="2"/>
  <c r="F534" i="2"/>
  <c r="G533" i="2"/>
  <c r="F533" i="2"/>
  <c r="G532" i="2"/>
  <c r="F532" i="2"/>
  <c r="G531" i="2"/>
  <c r="F531" i="2"/>
  <c r="G530" i="2"/>
  <c r="F530" i="2"/>
  <c r="G529" i="2"/>
  <c r="F529" i="2"/>
  <c r="G528" i="2"/>
  <c r="F528" i="2"/>
  <c r="G527" i="2"/>
  <c r="F527" i="2"/>
  <c r="G526" i="2"/>
  <c r="F526" i="2"/>
  <c r="G525" i="2"/>
  <c r="F525" i="2"/>
  <c r="G524" i="2"/>
  <c r="F524" i="2"/>
  <c r="G523" i="2"/>
  <c r="F523" i="2"/>
  <c r="G522" i="2"/>
  <c r="F522" i="2"/>
  <c r="G521" i="2"/>
  <c r="F521" i="2"/>
  <c r="G520" i="2"/>
  <c r="F520" i="2"/>
  <c r="G519" i="2"/>
  <c r="F519" i="2"/>
  <c r="G518" i="2"/>
  <c r="F518" i="2"/>
  <c r="G517" i="2"/>
  <c r="F517" i="2"/>
  <c r="G516" i="2"/>
  <c r="F516" i="2"/>
  <c r="G515" i="2"/>
  <c r="F515" i="2"/>
  <c r="G514" i="2"/>
  <c r="F514" i="2"/>
  <c r="G513" i="2"/>
  <c r="F513" i="2"/>
  <c r="G512" i="2"/>
  <c r="F512" i="2"/>
  <c r="G511" i="2"/>
  <c r="F511" i="2"/>
  <c r="G510" i="2"/>
  <c r="F510" i="2"/>
  <c r="G509" i="2"/>
  <c r="F509" i="2"/>
  <c r="G508" i="2"/>
  <c r="F508" i="2"/>
  <c r="G507" i="2"/>
  <c r="F507" i="2"/>
  <c r="G506" i="2"/>
  <c r="F506" i="2"/>
  <c r="G505" i="2"/>
  <c r="F505" i="2"/>
  <c r="G504" i="2"/>
  <c r="F504" i="2"/>
  <c r="G503" i="2"/>
  <c r="F503" i="2"/>
  <c r="G502" i="2"/>
  <c r="F502" i="2"/>
  <c r="E502" i="2"/>
  <c r="D502" i="2"/>
  <c r="C502" i="2"/>
  <c r="B502" i="2"/>
  <c r="G501" i="2"/>
  <c r="G500" i="2"/>
  <c r="G499" i="2"/>
  <c r="E499" i="2"/>
  <c r="D499" i="2"/>
  <c r="C499" i="2"/>
  <c r="G498" i="2"/>
  <c r="F498" i="2"/>
  <c r="G497" i="2"/>
  <c r="F497" i="2"/>
  <c r="G496" i="2"/>
  <c r="F496" i="2"/>
  <c r="G495" i="2"/>
  <c r="F495" i="2"/>
  <c r="G494" i="2"/>
  <c r="F494" i="2"/>
  <c r="G493" i="2"/>
  <c r="F493" i="2"/>
  <c r="G492" i="2"/>
  <c r="F492" i="2"/>
  <c r="G491" i="2"/>
  <c r="F491" i="2"/>
  <c r="G490" i="2"/>
  <c r="F490" i="2"/>
  <c r="G489" i="2"/>
  <c r="C489" i="2"/>
  <c r="F489" i="2" s="1"/>
  <c r="G488" i="2"/>
  <c r="F488" i="2"/>
  <c r="G487" i="2"/>
  <c r="F487" i="2"/>
  <c r="G486" i="2"/>
  <c r="F486" i="2"/>
  <c r="G485" i="2"/>
  <c r="F485" i="2"/>
  <c r="G484" i="2"/>
  <c r="F484" i="2"/>
  <c r="G483" i="2"/>
  <c r="F483" i="2"/>
  <c r="G482" i="2"/>
  <c r="F482" i="2"/>
  <c r="G481" i="2"/>
  <c r="F481" i="2"/>
  <c r="G480" i="2"/>
  <c r="F480" i="2"/>
  <c r="G479" i="2"/>
  <c r="F479" i="2"/>
  <c r="C479" i="2"/>
  <c r="G478" i="2"/>
  <c r="F478" i="2"/>
  <c r="G477" i="2"/>
  <c r="F477" i="2"/>
  <c r="G476" i="2"/>
  <c r="F476" i="2"/>
  <c r="G475" i="2"/>
  <c r="F475" i="2"/>
  <c r="G474" i="2"/>
  <c r="F474" i="2"/>
  <c r="G473" i="2"/>
  <c r="F473" i="2"/>
  <c r="G472" i="2"/>
  <c r="F472" i="2"/>
  <c r="G471" i="2"/>
  <c r="F471" i="2"/>
  <c r="G470" i="2"/>
  <c r="F470" i="2"/>
  <c r="G469" i="2"/>
  <c r="F469" i="2"/>
  <c r="C469" i="2"/>
  <c r="C468" i="2" s="1"/>
  <c r="F468" i="2" s="1"/>
  <c r="E468" i="2"/>
  <c r="D468" i="2"/>
  <c r="G468" i="2" s="1"/>
  <c r="B468" i="2"/>
  <c r="G467" i="2"/>
  <c r="F467" i="2"/>
  <c r="G466" i="2"/>
  <c r="F466" i="2"/>
  <c r="G465" i="2"/>
  <c r="F465" i="2"/>
  <c r="G464" i="2"/>
  <c r="F464" i="2"/>
  <c r="G463" i="2"/>
  <c r="F463" i="2"/>
  <c r="G462" i="2"/>
  <c r="F462" i="2"/>
  <c r="G461" i="2"/>
  <c r="F461" i="2"/>
  <c r="G460" i="2"/>
  <c r="F460" i="2"/>
  <c r="G459" i="2"/>
  <c r="F459" i="2"/>
  <c r="G458" i="2"/>
  <c r="F458" i="2"/>
  <c r="G457" i="2"/>
  <c r="F457" i="2"/>
  <c r="G456" i="2"/>
  <c r="C456" i="2"/>
  <c r="F456" i="2" s="1"/>
  <c r="G455" i="2"/>
  <c r="F455" i="2"/>
  <c r="G454" i="2"/>
  <c r="F454" i="2"/>
  <c r="G453" i="2"/>
  <c r="F453" i="2"/>
  <c r="G452" i="2"/>
  <c r="F452" i="2"/>
  <c r="G451" i="2"/>
  <c r="F451" i="2"/>
  <c r="G450" i="2"/>
  <c r="F450" i="2"/>
  <c r="G449" i="2"/>
  <c r="F449" i="2"/>
  <c r="G448" i="2"/>
  <c r="F448" i="2"/>
  <c r="G447" i="2"/>
  <c r="F447" i="2"/>
  <c r="G446" i="2"/>
  <c r="F446" i="2"/>
  <c r="G445" i="2"/>
  <c r="F445" i="2"/>
  <c r="G444" i="2"/>
  <c r="F444" i="2"/>
  <c r="G443" i="2"/>
  <c r="F443" i="2"/>
  <c r="G442" i="2"/>
  <c r="F442" i="2"/>
  <c r="G441" i="2"/>
  <c r="F441" i="2"/>
  <c r="G440" i="2"/>
  <c r="F440" i="2"/>
  <c r="G439" i="2"/>
  <c r="F439" i="2"/>
  <c r="G438" i="2"/>
  <c r="F438" i="2"/>
  <c r="G437" i="2"/>
  <c r="F437" i="2"/>
  <c r="G436" i="2"/>
  <c r="F436" i="2"/>
  <c r="G435" i="2"/>
  <c r="F435" i="2"/>
  <c r="G434" i="2"/>
  <c r="F434" i="2"/>
  <c r="G433" i="2"/>
  <c r="F433" i="2"/>
  <c r="G432" i="2"/>
  <c r="F432" i="2"/>
  <c r="G431" i="2"/>
  <c r="C431" i="2"/>
  <c r="C413" i="2" s="1"/>
  <c r="F413" i="2" s="1"/>
  <c r="G430" i="2"/>
  <c r="F430" i="2"/>
  <c r="G429" i="2"/>
  <c r="F429" i="2"/>
  <c r="G428" i="2"/>
  <c r="F428" i="2"/>
  <c r="G427" i="2"/>
  <c r="F427" i="2"/>
  <c r="G426" i="2"/>
  <c r="F426" i="2"/>
  <c r="G425" i="2"/>
  <c r="F425" i="2"/>
  <c r="G424" i="2"/>
  <c r="F424" i="2"/>
  <c r="G423" i="2"/>
  <c r="F423" i="2"/>
  <c r="G422" i="2"/>
  <c r="F422" i="2"/>
  <c r="G421" i="2"/>
  <c r="F421" i="2"/>
  <c r="G420" i="2"/>
  <c r="F420" i="2"/>
  <c r="G419" i="2"/>
  <c r="F419" i="2"/>
  <c r="G418" i="2"/>
  <c r="F418" i="2"/>
  <c r="G417" i="2"/>
  <c r="F417" i="2"/>
  <c r="G416" i="2"/>
  <c r="F416" i="2"/>
  <c r="G415" i="2"/>
  <c r="F415" i="2"/>
  <c r="G414" i="2"/>
  <c r="F414" i="2"/>
  <c r="G413" i="2"/>
  <c r="E413" i="2"/>
  <c r="D413" i="2"/>
  <c r="B413" i="2"/>
  <c r="G412" i="2"/>
  <c r="F412" i="2"/>
  <c r="G411" i="2"/>
  <c r="F411" i="2"/>
  <c r="G410" i="2"/>
  <c r="F410" i="2"/>
  <c r="G409" i="2"/>
  <c r="F409" i="2"/>
  <c r="G408" i="2"/>
  <c r="F408" i="2"/>
  <c r="G407" i="2"/>
  <c r="F407" i="2"/>
  <c r="G406" i="2"/>
  <c r="F406" i="2"/>
  <c r="G405" i="2"/>
  <c r="F405" i="2"/>
  <c r="G404" i="2"/>
  <c r="F404" i="2"/>
  <c r="G403" i="2"/>
  <c r="F403" i="2"/>
  <c r="G402" i="2"/>
  <c r="F402" i="2"/>
  <c r="G401" i="2"/>
  <c r="F401" i="2"/>
  <c r="G400" i="2"/>
  <c r="F400" i="2"/>
  <c r="G399" i="2"/>
  <c r="F399" i="2"/>
  <c r="G398" i="2"/>
  <c r="F398" i="2"/>
  <c r="G397" i="2"/>
  <c r="F397" i="2"/>
  <c r="G396" i="2"/>
  <c r="F396" i="2"/>
  <c r="G395" i="2"/>
  <c r="F395" i="2"/>
  <c r="G394" i="2"/>
  <c r="F394" i="2"/>
  <c r="G393" i="2"/>
  <c r="G392" i="2"/>
  <c r="G391" i="2"/>
  <c r="G390" i="2"/>
  <c r="F390" i="2"/>
  <c r="G389" i="2"/>
  <c r="F389" i="2"/>
  <c r="G388" i="2"/>
  <c r="F388" i="2"/>
  <c r="G387" i="2"/>
  <c r="F387" i="2"/>
  <c r="G386" i="2"/>
  <c r="F386" i="2"/>
  <c r="G385" i="2"/>
  <c r="F385" i="2"/>
  <c r="G384" i="2"/>
  <c r="F384" i="2"/>
  <c r="G383" i="2"/>
  <c r="F383" i="2"/>
  <c r="G382" i="2"/>
  <c r="F382" i="2"/>
  <c r="G381" i="2"/>
  <c r="F381" i="2"/>
  <c r="G380" i="2"/>
  <c r="F380" i="2"/>
  <c r="G379" i="2"/>
  <c r="F379" i="2"/>
  <c r="G378" i="2"/>
  <c r="F378" i="2"/>
  <c r="G377" i="2"/>
  <c r="F377" i="2"/>
  <c r="G376" i="2"/>
  <c r="F376" i="2"/>
  <c r="G375" i="2"/>
  <c r="F375" i="2"/>
  <c r="G374" i="2"/>
  <c r="F374" i="2"/>
  <c r="G373" i="2"/>
  <c r="F373" i="2"/>
  <c r="G372" i="2"/>
  <c r="F372" i="2"/>
  <c r="G371" i="2"/>
  <c r="F371" i="2"/>
  <c r="G370" i="2"/>
  <c r="F370" i="2"/>
  <c r="G369" i="2"/>
  <c r="F369" i="2"/>
  <c r="G368" i="2"/>
  <c r="F368" i="2"/>
  <c r="G367" i="2"/>
  <c r="F367" i="2"/>
  <c r="G366" i="2"/>
  <c r="F366" i="2"/>
  <c r="G365" i="2"/>
  <c r="F365" i="2"/>
  <c r="G364" i="2"/>
  <c r="F364" i="2"/>
  <c r="G363" i="2"/>
  <c r="F363" i="2"/>
  <c r="G362" i="2"/>
  <c r="F362" i="2"/>
  <c r="G361" i="2"/>
  <c r="F361" i="2"/>
  <c r="G360" i="2"/>
  <c r="F360" i="2"/>
  <c r="G359" i="2"/>
  <c r="F359" i="2"/>
  <c r="G358" i="2"/>
  <c r="F358" i="2"/>
  <c r="G357" i="2"/>
  <c r="F357" i="2"/>
  <c r="G356" i="2"/>
  <c r="F356" i="2"/>
  <c r="G355" i="2"/>
  <c r="F355" i="2"/>
  <c r="G354" i="2"/>
  <c r="F354" i="2"/>
  <c r="G353" i="2"/>
  <c r="F353" i="2"/>
  <c r="G352" i="2"/>
  <c r="F352" i="2"/>
  <c r="G351" i="2"/>
  <c r="F351" i="2"/>
  <c r="G350" i="2"/>
  <c r="F350" i="2"/>
  <c r="G349" i="2"/>
  <c r="F349" i="2"/>
  <c r="G348" i="2"/>
  <c r="F348" i="2"/>
  <c r="G347" i="2"/>
  <c r="F347" i="2"/>
  <c r="G346" i="2"/>
  <c r="F346" i="2"/>
  <c r="G345" i="2"/>
  <c r="F345" i="2"/>
  <c r="G344" i="2"/>
  <c r="F344" i="2"/>
  <c r="G343" i="2"/>
  <c r="F343" i="2"/>
  <c r="G342" i="2"/>
  <c r="F342" i="2"/>
  <c r="G341" i="2"/>
  <c r="F341" i="2"/>
  <c r="G340" i="2"/>
  <c r="F340" i="2"/>
  <c r="G339" i="2"/>
  <c r="F339" i="2"/>
  <c r="G338" i="2"/>
  <c r="F338" i="2"/>
  <c r="G337" i="2"/>
  <c r="F337" i="2"/>
  <c r="G336" i="2"/>
  <c r="F336" i="2"/>
  <c r="G335" i="2"/>
  <c r="F335" i="2"/>
  <c r="G334" i="2"/>
  <c r="F334" i="2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4" i="2"/>
  <c r="F324" i="2"/>
  <c r="G323" i="2"/>
  <c r="F323" i="2"/>
  <c r="G322" i="2"/>
  <c r="C322" i="2"/>
  <c r="F322" i="2" s="1"/>
  <c r="G321" i="2"/>
  <c r="F321" i="2"/>
  <c r="C321" i="2"/>
  <c r="G320" i="2"/>
  <c r="F320" i="2"/>
  <c r="C320" i="2"/>
  <c r="G319" i="2"/>
  <c r="F319" i="2"/>
  <c r="C319" i="2"/>
  <c r="G318" i="2"/>
  <c r="C318" i="2"/>
  <c r="F318" i="2" s="1"/>
  <c r="G317" i="2"/>
  <c r="F317" i="2"/>
  <c r="C317" i="2"/>
  <c r="G316" i="2"/>
  <c r="F316" i="2"/>
  <c r="C316" i="2"/>
  <c r="G315" i="2"/>
  <c r="F315" i="2"/>
  <c r="C315" i="2"/>
  <c r="C314" i="2" s="1"/>
  <c r="G314" i="2"/>
  <c r="E313" i="2"/>
  <c r="D313" i="2"/>
  <c r="G313" i="2" s="1"/>
  <c r="G312" i="2"/>
  <c r="C312" i="2"/>
  <c r="F312" i="2" s="1"/>
  <c r="G311" i="2"/>
  <c r="F311" i="2"/>
  <c r="C311" i="2"/>
  <c r="G310" i="2"/>
  <c r="C310" i="2"/>
  <c r="F310" i="2" s="1"/>
  <c r="G309" i="2"/>
  <c r="C309" i="2"/>
  <c r="F309" i="2" s="1"/>
  <c r="G308" i="2"/>
  <c r="C308" i="2"/>
  <c r="F308" i="2" s="1"/>
  <c r="G307" i="2"/>
  <c r="F307" i="2"/>
  <c r="C307" i="2"/>
  <c r="G306" i="2"/>
  <c r="C306" i="2"/>
  <c r="F306" i="2" s="1"/>
  <c r="G305" i="2"/>
  <c r="C305" i="2"/>
  <c r="F305" i="2" s="1"/>
  <c r="G304" i="2"/>
  <c r="C304" i="2"/>
  <c r="C303" i="2" s="1"/>
  <c r="G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6" i="2"/>
  <c r="F296" i="2"/>
  <c r="G295" i="2"/>
  <c r="F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F280" i="2"/>
  <c r="G279" i="2"/>
  <c r="F279" i="2"/>
  <c r="G278" i="2"/>
  <c r="F278" i="2"/>
  <c r="G277" i="2"/>
  <c r="F277" i="2"/>
  <c r="G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C227" i="2"/>
  <c r="F227" i="2" s="1"/>
  <c r="G226" i="2"/>
  <c r="F226" i="2"/>
  <c r="C226" i="2"/>
  <c r="G225" i="2"/>
  <c r="C225" i="2"/>
  <c r="F225" i="2" s="1"/>
  <c r="G224" i="2"/>
  <c r="C224" i="2"/>
  <c r="F224" i="2" s="1"/>
  <c r="G223" i="2"/>
  <c r="C223" i="2"/>
  <c r="F223" i="2" s="1"/>
  <c r="G222" i="2"/>
  <c r="F222" i="2"/>
  <c r="C222" i="2"/>
  <c r="G221" i="2"/>
  <c r="C221" i="2"/>
  <c r="F221" i="2" s="1"/>
  <c r="G220" i="2"/>
  <c r="C220" i="2"/>
  <c r="F220" i="2" s="1"/>
  <c r="G219" i="2"/>
  <c r="C219" i="2"/>
  <c r="C217" i="2" s="1"/>
  <c r="G218" i="2"/>
  <c r="F218" i="2"/>
  <c r="C218" i="2"/>
  <c r="G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C191" i="2"/>
  <c r="F191" i="2" s="1"/>
  <c r="G190" i="2"/>
  <c r="F190" i="2"/>
  <c r="C190" i="2"/>
  <c r="G189" i="2"/>
  <c r="C189" i="2"/>
  <c r="F189" i="2" s="1"/>
  <c r="G188" i="2"/>
  <c r="F188" i="2"/>
  <c r="G187" i="2"/>
  <c r="C187" i="2"/>
  <c r="F187" i="2" s="1"/>
  <c r="G186" i="2"/>
  <c r="F186" i="2"/>
  <c r="C186" i="2"/>
  <c r="G185" i="2"/>
  <c r="F185" i="2"/>
  <c r="C185" i="2"/>
  <c r="G184" i="2"/>
  <c r="C184" i="2"/>
  <c r="F184" i="2" s="1"/>
  <c r="G183" i="2"/>
  <c r="C183" i="2"/>
  <c r="F183" i="2" s="1"/>
  <c r="G182" i="2"/>
  <c r="F182" i="2"/>
  <c r="C182" i="2"/>
  <c r="G181" i="2"/>
  <c r="F181" i="2"/>
  <c r="C181" i="2"/>
  <c r="G180" i="2"/>
  <c r="C180" i="2"/>
  <c r="F180" i="2" s="1"/>
  <c r="G179" i="2"/>
  <c r="C179" i="2"/>
  <c r="C178" i="2" s="1"/>
  <c r="G178" i="2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E132" i="2"/>
  <c r="D132" i="2"/>
  <c r="G132" i="2" s="1"/>
  <c r="G131" i="2"/>
  <c r="C131" i="2"/>
  <c r="F131" i="2" s="1"/>
  <c r="G130" i="2"/>
  <c r="F130" i="2"/>
  <c r="C130" i="2"/>
  <c r="G129" i="2"/>
  <c r="F129" i="2"/>
  <c r="G128" i="2"/>
  <c r="C128" i="2"/>
  <c r="F128" i="2" s="1"/>
  <c r="G127" i="2"/>
  <c r="F127" i="2"/>
  <c r="C127" i="2"/>
  <c r="G126" i="2"/>
  <c r="C126" i="2"/>
  <c r="F126" i="2" s="1"/>
  <c r="G125" i="2"/>
  <c r="C125" i="2"/>
  <c r="F125" i="2" s="1"/>
  <c r="G124" i="2"/>
  <c r="C124" i="2"/>
  <c r="F124" i="2" s="1"/>
  <c r="G123" i="2"/>
  <c r="F123" i="2"/>
  <c r="C123" i="2"/>
  <c r="G122" i="2"/>
  <c r="C122" i="2"/>
  <c r="C120" i="2" s="1"/>
  <c r="C87" i="2" s="1"/>
  <c r="G121" i="2"/>
  <c r="C121" i="2"/>
  <c r="F121" i="2" s="1"/>
  <c r="E120" i="2"/>
  <c r="D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E86" i="2"/>
  <c r="D86" i="2"/>
  <c r="B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E7" i="2"/>
  <c r="E6" i="2" s="1"/>
  <c r="D7" i="2"/>
  <c r="C7" i="2"/>
  <c r="F7" i="2" s="1"/>
  <c r="B7" i="2"/>
  <c r="G498" i="1"/>
  <c r="F498" i="1"/>
  <c r="G464" i="1"/>
  <c r="F464" i="1"/>
  <c r="G703" i="1"/>
  <c r="F703" i="1"/>
  <c r="G702" i="1"/>
  <c r="F702" i="1"/>
  <c r="G701" i="1"/>
  <c r="F701" i="1"/>
  <c r="G664" i="1"/>
  <c r="F664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E569" i="1"/>
  <c r="E556" i="1" s="1"/>
  <c r="D569" i="1"/>
  <c r="D556" i="1" s="1"/>
  <c r="C569" i="1"/>
  <c r="B569" i="1"/>
  <c r="C556" i="1"/>
  <c r="B556" i="1"/>
  <c r="C549" i="1"/>
  <c r="C548" i="1" s="1"/>
  <c r="B549" i="1"/>
  <c r="B548" i="1"/>
  <c r="B6" i="1" s="1"/>
  <c r="G6" i="1" s="1"/>
  <c r="G543" i="1"/>
  <c r="F543" i="1"/>
  <c r="G542" i="1"/>
  <c r="F542" i="1"/>
  <c r="G541" i="1"/>
  <c r="F541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8" i="1"/>
  <c r="F528" i="1"/>
  <c r="G527" i="1"/>
  <c r="F527" i="1"/>
  <c r="G526" i="1"/>
  <c r="F526" i="1"/>
  <c r="G525" i="1"/>
  <c r="F525" i="1"/>
  <c r="G524" i="1"/>
  <c r="F524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C486" i="1"/>
  <c r="F486" i="1" s="1"/>
  <c r="G485" i="1"/>
  <c r="C485" i="1"/>
  <c r="F485" i="1" s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C476" i="1"/>
  <c r="F476" i="1" s="1"/>
  <c r="G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C466" i="1"/>
  <c r="C465" i="1" s="1"/>
  <c r="G465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C428" i="1"/>
  <c r="C427" i="1" s="1"/>
  <c r="G427" i="1"/>
  <c r="G426" i="1"/>
  <c r="G425" i="1"/>
  <c r="G424" i="1"/>
  <c r="G423" i="1"/>
  <c r="G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G343" i="1"/>
  <c r="G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C332" i="1"/>
  <c r="F332" i="1" s="1"/>
  <c r="G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C321" i="1"/>
  <c r="F321" i="1" s="1"/>
  <c r="G320" i="1"/>
  <c r="F320" i="1"/>
  <c r="C320" i="1"/>
  <c r="G319" i="1"/>
  <c r="F319" i="1"/>
  <c r="C319" i="1"/>
  <c r="G318" i="1"/>
  <c r="C318" i="1"/>
  <c r="F318" i="1" s="1"/>
  <c r="G317" i="1"/>
  <c r="C317" i="1"/>
  <c r="F317" i="1" s="1"/>
  <c r="G316" i="1"/>
  <c r="F316" i="1"/>
  <c r="C316" i="1"/>
  <c r="G315" i="1"/>
  <c r="F315" i="1"/>
  <c r="C315" i="1"/>
  <c r="G314" i="1"/>
  <c r="C314" i="1"/>
  <c r="F314" i="1" s="1"/>
  <c r="G313" i="1"/>
  <c r="G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C301" i="1"/>
  <c r="F301" i="1" s="1"/>
  <c r="G300" i="1"/>
  <c r="C300" i="1"/>
  <c r="F300" i="1" s="1"/>
  <c r="G299" i="1"/>
  <c r="F299" i="1"/>
  <c r="C299" i="1"/>
  <c r="G298" i="1"/>
  <c r="C298" i="1"/>
  <c r="F298" i="1" s="1"/>
  <c r="G297" i="1"/>
  <c r="C297" i="1"/>
  <c r="F297" i="1" s="1"/>
  <c r="G296" i="1"/>
  <c r="C296" i="1"/>
  <c r="F296" i="1" s="1"/>
  <c r="G295" i="1"/>
  <c r="F295" i="1"/>
  <c r="C295" i="1"/>
  <c r="G294" i="1"/>
  <c r="C294" i="1"/>
  <c r="F294" i="1" s="1"/>
  <c r="G293" i="1"/>
  <c r="C293" i="1"/>
  <c r="F293" i="1" s="1"/>
  <c r="G292" i="1"/>
  <c r="C292" i="1"/>
  <c r="F292" i="1" s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G219" i="1"/>
  <c r="F219" i="1"/>
  <c r="G218" i="1"/>
  <c r="F218" i="1"/>
  <c r="G217" i="1"/>
  <c r="F217" i="1"/>
  <c r="G216" i="1"/>
  <c r="F216" i="1"/>
  <c r="G215" i="1"/>
  <c r="F215" i="1"/>
  <c r="C215" i="1"/>
  <c r="G214" i="1"/>
  <c r="F214" i="1"/>
  <c r="C214" i="1"/>
  <c r="G213" i="1"/>
  <c r="C213" i="1"/>
  <c r="F213" i="1" s="1"/>
  <c r="G212" i="1"/>
  <c r="C212" i="1"/>
  <c r="C205" i="1" s="1"/>
  <c r="G211" i="1"/>
  <c r="F211" i="1"/>
  <c r="C211" i="1"/>
  <c r="G210" i="1"/>
  <c r="F210" i="1"/>
  <c r="C210" i="1"/>
  <c r="G209" i="1"/>
  <c r="G208" i="1"/>
  <c r="F208" i="1"/>
  <c r="C208" i="1"/>
  <c r="G207" i="1"/>
  <c r="F207" i="1"/>
  <c r="C207" i="1"/>
  <c r="G206" i="1"/>
  <c r="F206" i="1"/>
  <c r="C206" i="1"/>
  <c r="G205" i="1"/>
  <c r="G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G194" i="1"/>
  <c r="F194" i="1"/>
  <c r="G193" i="1"/>
  <c r="F193" i="1"/>
  <c r="G192" i="1"/>
  <c r="F192" i="1"/>
  <c r="G191" i="1"/>
  <c r="C191" i="1"/>
  <c r="F191" i="1" s="1"/>
  <c r="G190" i="1"/>
  <c r="G189" i="1"/>
  <c r="F189" i="1"/>
  <c r="C189" i="1"/>
  <c r="G188" i="1"/>
  <c r="C188" i="1"/>
  <c r="F188" i="1" s="1"/>
  <c r="G187" i="1"/>
  <c r="F187" i="1"/>
  <c r="G186" i="1"/>
  <c r="C186" i="1"/>
  <c r="F186" i="1" s="1"/>
  <c r="G185" i="1"/>
  <c r="C185" i="1"/>
  <c r="F185" i="1" s="1"/>
  <c r="G184" i="1"/>
  <c r="F184" i="1"/>
  <c r="C184" i="1"/>
  <c r="G183" i="1"/>
  <c r="C183" i="1"/>
  <c r="F183" i="1" s="1"/>
  <c r="G182" i="1"/>
  <c r="C182" i="1"/>
  <c r="F182" i="1" s="1"/>
  <c r="G181" i="1"/>
  <c r="G180" i="1"/>
  <c r="F180" i="1"/>
  <c r="C180" i="1"/>
  <c r="G179" i="1"/>
  <c r="C179" i="1"/>
  <c r="F179" i="1" s="1"/>
  <c r="G178" i="1"/>
  <c r="C178" i="1"/>
  <c r="F178" i="1" s="1"/>
  <c r="G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G147" i="1"/>
  <c r="G146" i="1"/>
  <c r="F146" i="1"/>
  <c r="G145" i="1"/>
  <c r="F145" i="1"/>
  <c r="C145" i="1"/>
  <c r="G144" i="1"/>
  <c r="C144" i="1"/>
  <c r="F144" i="1" s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G135" i="1"/>
  <c r="F135" i="1"/>
  <c r="G134" i="1"/>
  <c r="F134" i="1"/>
  <c r="G133" i="1"/>
  <c r="F133" i="1"/>
  <c r="G132" i="1"/>
  <c r="F132" i="1"/>
  <c r="G131" i="1"/>
  <c r="G130" i="1"/>
  <c r="C130" i="1"/>
  <c r="F130" i="1" s="1"/>
  <c r="G129" i="1"/>
  <c r="F129" i="1"/>
  <c r="C129" i="1"/>
  <c r="G128" i="1"/>
  <c r="F128" i="1"/>
  <c r="C128" i="1"/>
  <c r="G127" i="1"/>
  <c r="C127" i="1"/>
  <c r="F127" i="1" s="1"/>
  <c r="G126" i="1"/>
  <c r="C126" i="1"/>
  <c r="C119" i="1" s="1"/>
  <c r="G125" i="1"/>
  <c r="F125" i="1"/>
  <c r="C125" i="1"/>
  <c r="G124" i="1"/>
  <c r="F124" i="1"/>
  <c r="C124" i="1"/>
  <c r="G123" i="1"/>
  <c r="G122" i="1"/>
  <c r="F122" i="1"/>
  <c r="C122" i="1"/>
  <c r="G121" i="1"/>
  <c r="F121" i="1"/>
  <c r="C121" i="1"/>
  <c r="G120" i="1"/>
  <c r="F120" i="1"/>
  <c r="C120" i="1"/>
  <c r="G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G90" i="1"/>
  <c r="F90" i="1"/>
  <c r="G89" i="1"/>
  <c r="F89" i="1"/>
  <c r="G88" i="1"/>
  <c r="F88" i="1"/>
  <c r="G87" i="1"/>
  <c r="F87" i="1"/>
  <c r="G86" i="1"/>
  <c r="G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G66" i="1"/>
  <c r="F66" i="1"/>
  <c r="G65" i="1"/>
  <c r="F65" i="1"/>
  <c r="G64" i="1"/>
  <c r="F64" i="1"/>
  <c r="G63" i="1"/>
  <c r="G62" i="1"/>
  <c r="F62" i="1"/>
  <c r="G61" i="1"/>
  <c r="F61" i="1"/>
  <c r="G60" i="1"/>
  <c r="F60" i="1"/>
  <c r="G59" i="1"/>
  <c r="F59" i="1"/>
  <c r="G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C9" i="1"/>
  <c r="C8" i="1" s="1"/>
  <c r="G8" i="1"/>
  <c r="G7" i="1"/>
  <c r="F303" i="2" l="1"/>
  <c r="C276" i="2"/>
  <c r="F276" i="2" s="1"/>
  <c r="F87" i="2"/>
  <c r="D6" i="2"/>
  <c r="G601" i="2"/>
  <c r="B573" i="2"/>
  <c r="B560" i="2" s="1"/>
  <c r="F573" i="2"/>
  <c r="F120" i="2"/>
  <c r="C132" i="2"/>
  <c r="C86" i="2" s="1"/>
  <c r="F178" i="2"/>
  <c r="F217" i="2"/>
  <c r="C205" i="2"/>
  <c r="F205" i="2" s="1"/>
  <c r="F314" i="2"/>
  <c r="C313" i="2"/>
  <c r="F313" i="2" s="1"/>
  <c r="G684" i="2"/>
  <c r="F684" i="2"/>
  <c r="D560" i="2"/>
  <c r="F219" i="2"/>
  <c r="G86" i="2"/>
  <c r="G120" i="2"/>
  <c r="F179" i="2"/>
  <c r="G602" i="2"/>
  <c r="G685" i="2"/>
  <c r="C664" i="2"/>
  <c r="G676" i="2"/>
  <c r="F431" i="2"/>
  <c r="F602" i="2"/>
  <c r="G553" i="2"/>
  <c r="F304" i="2"/>
  <c r="F122" i="2"/>
  <c r="F205" i="1"/>
  <c r="C204" i="1"/>
  <c r="F204" i="1" s="1"/>
  <c r="G556" i="1"/>
  <c r="F556" i="1"/>
  <c r="F427" i="1"/>
  <c r="C409" i="1"/>
  <c r="F409" i="1" s="1"/>
  <c r="F465" i="1"/>
  <c r="C464" i="1"/>
  <c r="F8" i="1"/>
  <c r="C7" i="1"/>
  <c r="F119" i="1"/>
  <c r="C86" i="1"/>
  <c r="C275" i="1"/>
  <c r="F275" i="1" s="1"/>
  <c r="F428" i="1"/>
  <c r="C177" i="1"/>
  <c r="C190" i="1"/>
  <c r="F190" i="1" s="1"/>
  <c r="C331" i="1"/>
  <c r="F331" i="1" s="1"/>
  <c r="C475" i="1"/>
  <c r="F475" i="1" s="1"/>
  <c r="F569" i="1"/>
  <c r="G569" i="1"/>
  <c r="C313" i="1"/>
  <c r="F126" i="1"/>
  <c r="F212" i="1"/>
  <c r="C6" i="2" l="1"/>
  <c r="F86" i="2"/>
  <c r="F132" i="2"/>
  <c r="G560" i="2"/>
  <c r="G573" i="2"/>
  <c r="C663" i="2"/>
  <c r="F664" i="2"/>
  <c r="G6" i="2"/>
  <c r="F6" i="2"/>
  <c r="F313" i="1"/>
  <c r="C312" i="1"/>
  <c r="F312" i="1" s="1"/>
  <c r="C131" i="1"/>
  <c r="F131" i="1" s="1"/>
  <c r="F177" i="1"/>
  <c r="F86" i="1"/>
  <c r="C85" i="1"/>
  <c r="F85" i="1" s="1"/>
  <c r="F7" i="1"/>
  <c r="F663" i="2" l="1"/>
  <c r="C560" i="2"/>
  <c r="F560" i="2" s="1"/>
  <c r="C6" i="1"/>
  <c r="F6" i="1" s="1"/>
</calcChain>
</file>

<file path=xl/sharedStrings.xml><?xml version="1.0" encoding="utf-8"?>
<sst xmlns="http://schemas.openxmlformats.org/spreadsheetml/2006/main" count="1468" uniqueCount="238">
  <si>
    <t xml:space="preserve">Аналіз фінансування установ за період з 01.01.2025 по 31.03.2025 </t>
  </si>
  <si>
    <t>Фонд</t>
  </si>
  <si>
    <t xml:space="preserve">План за вказаний період з урахуванням змін
</t>
  </si>
  <si>
    <t xml:space="preserve">Всього профінансовано за вказаний період
</t>
  </si>
  <si>
    <t xml:space="preserve">Касові видатки за вказаний період
</t>
  </si>
  <si>
    <t xml:space="preserve">% виконання на вказаний період
</t>
  </si>
  <si>
    <t xml:space="preserve">% виконання на рік
</t>
  </si>
  <si>
    <t>КБП</t>
  </si>
  <si>
    <t>Повна назва установи</t>
  </si>
  <si>
    <t>КЕКВ</t>
  </si>
  <si>
    <t>1 1. Загальний фонд</t>
  </si>
  <si>
    <t>0100      Державне управління</t>
  </si>
  <si>
    <t>0160      Керівництво і управління у відповідній сфері у містах (місті Києві), селищах, селах, територіальних громадах</t>
  </si>
  <si>
    <t>Управління (Центр) надання адміністративних послуг Дніпровської районної в місті Києві державної адміністрації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</si>
  <si>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</si>
  <si>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</si>
  <si>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</si>
  <si>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</si>
  <si>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</si>
  <si>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</si>
  <si>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</si>
  <si>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2282 Окремі заходи по реалізації державних (регіональних) програм, не віднесені до заходів розвитку</t>
  </si>
  <si>
    <t>Дніпровсь районна в місті Києві Державна адмінісирація</t>
  </si>
  <si>
    <t>2800 Інші поточні видатки</t>
  </si>
  <si>
    <t>Фінансове управління Дніпровської районної в місті Києві державної адміністрації</t>
  </si>
  <si>
    <t>Управління  соціального захисту населення Дніпровської районної в місті  Києві державної адміністрації</t>
  </si>
  <si>
    <t>2250 Видатки на відрядження</t>
  </si>
  <si>
    <t>Управілння житлово комунального господарства Дніпровської  в місті Києві державної адміністрації</t>
  </si>
  <si>
    <t>Відділ молоді  та спорту Дніпровської районної в місті  Києві державної адміністрації</t>
  </si>
  <si>
    <t>Управління освіті Дніпрвської районної в місті Києві державної адміністрації</t>
  </si>
  <si>
    <t>Служба у справах дітей Дніпровської районної в місті  Києві державної адміністрації</t>
  </si>
  <si>
    <t>Відділ культури  Дніпровської районної в місті Києві державної адміністрації</t>
  </si>
  <si>
    <t>2275 Оплата інших енергоносіїв та інших комунальних послуг</t>
  </si>
  <si>
    <t>1000      Освіта</t>
  </si>
  <si>
    <t>1010      Надання дошкільної освіти</t>
  </si>
  <si>
    <t>Ліцей № 141 "Освітні ресурси та технологічний тренінг" Дніпровського району м.Києва</t>
  </si>
  <si>
    <t>2220 Медикаменти та перев'язувальні матеріали</t>
  </si>
  <si>
    <t>Ліцей «Домінанта» Дніпровського району м. Києва</t>
  </si>
  <si>
    <t>Дошкільний навчальний заклад  №628</t>
  </si>
  <si>
    <t>2274 Оплата природного газу</t>
  </si>
  <si>
    <t>1021      Надання загальної середньої освіти закладами загальної середньої освіти за рахунок коштів місцевого бюджету</t>
  </si>
  <si>
    <t>Ліцей № 42 Дніпровського району м.Києва</t>
  </si>
  <si>
    <t>2230 Продукти харчування</t>
  </si>
  <si>
    <t>Ліцей № 272 "Український колеж ім. В.О.Сухомлинського" Дніпровського району м.Києва</t>
  </si>
  <si>
    <t>1022     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</si>
  <si>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1023      Надання загальної середньої освіти спеціалізованими закладами загальної середньої освіти за рахунок коштів місцевого бюджету</t>
  </si>
  <si>
    <t>Мистецький ліцей "Зміна" Дніпровського району м.Києва</t>
  </si>
  <si>
    <t>1031      Надання загальної середньої освіти закладами загальної середньої освіти за рахунок освітньої субвенції</t>
  </si>
  <si>
    <t>Приватний організація (установа, заклад) "Приватний заклад загальної середньої освіти "Київська гімназія "Гелаксі Скул"</t>
  </si>
  <si>
    <t>2610 Субсидії та поточні трансферти підприємствам (установам, організаціям)</t>
  </si>
  <si>
    <t>Приватний заклад освіти "Ліцей "Сенс Скул"</t>
  </si>
  <si>
    <t>"Приватний заклад загальної середньої освіти "Київський ліцей "Симфонія"</t>
  </si>
  <si>
    <t>Приватний заклад освіти Київська початкова школа "ПЛАНЕТА ДИТИНСТВА"</t>
  </si>
  <si>
    <t>Товариство з обмеженою відповідальністю "Центр освіти "Джемм"</t>
  </si>
  <si>
    <t>Товариство з обмеженою відповідальністю "Академія сучасної освіти"</t>
  </si>
  <si>
    <t>Товариство з обмеженою відповідальністю "Київський ліцей Нью Тон"</t>
  </si>
  <si>
    <t>Товариство з обмеженою відповідальністю "Києво-Воскресенський ліцей"</t>
  </si>
  <si>
    <t>Гімназія "Столиця"</t>
  </si>
  <si>
    <t>Іноваційний ліцей "Ай-скул"</t>
  </si>
  <si>
    <t>1032     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субвенції.</t>
  </si>
  <si>
    <t>1033      Надання загальної середньої освіти спеціалізованими закладами загальної середньої освіти за рахунок освітньої субвенції</t>
  </si>
  <si>
    <t>1070      Надання позашкільної освіти закладами позашкільної освіти, заходи із позашкільної роботи з дітьми</t>
  </si>
  <si>
    <t>Станція юних техніків-центру науково-технічної творчості молоді</t>
  </si>
  <si>
    <t>1080      Надання спеціалізованої освіти мистецькими школами</t>
  </si>
  <si>
    <t>Дитяча школа мистецтв № 6 ім. Г.П. Жуковського  Дніпровського району міста Києва</t>
  </si>
  <si>
    <t>1141      Забезпечення діяльності інших закладів у сфері освіти</t>
  </si>
  <si>
    <t>1142      Інші програми та заходи у сфері освіти</t>
  </si>
  <si>
    <t>2730 Інші виплати населенню</t>
  </si>
  <si>
    <t>1151      Забезпечення діяльності інклюзивно-ресурсних центрів за рахунок коштів місцевого бюджету</t>
  </si>
  <si>
    <t>Інклюзивно-ресурсний центр №13 Дніпровського району м.Києва</t>
  </si>
  <si>
    <t>Інклюзивно-ресурсний центр №4 Дніпровського району м.Києва</t>
  </si>
  <si>
    <t>1152      Забезпечення діяльності інклюзивно-ресурсних центрів за рахунок освітньої субвенції</t>
  </si>
  <si>
    <t>1200      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</si>
  <si>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      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</si>
  <si>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3000      Соціальний захист та соціальне забезпечення</t>
  </si>
  <si>
    <t>3105      Надання реабілітаційних послуг особам з інвалідністю та дітям з інвалідністю</t>
  </si>
  <si>
    <t>Центр комплексної реабілітації для осіб з інвалідністю Дніпровського району міста Києва</t>
  </si>
  <si>
    <t>3114      Забезпечення умов для догляду та виховання дітей та молоді в дитячих будинках сімейного типу, прийомних сім’ях та сім’ях патронатних вихователів</t>
  </si>
  <si>
    <t>3121      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</si>
  <si>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Дніпровський районний в місті Київі центр соціальних служб</t>
  </si>
  <si>
    <t>3132      Створення умов для творчого, інтелектуального, духовного та фізичного розвитку дітей та молоді за місцем їх проживання</t>
  </si>
  <si>
    <t>Центр по роботі з дітьми та молоддю за місцем проживання Дніпровського району м. Києва</t>
  </si>
  <si>
    <t>3133      Забезпечення молодіжними центрами соціального становлення та розвитку молоді та інші заходи у сфері молодіжної політики</t>
  </si>
  <si>
    <t>3241      Надання комплексу послуг особам/сім’ям у сфері соціального захисту та соціального забезпечення іншими надавачами соціальних послуг</t>
  </si>
  <si>
    <t>Центр соціальної підтримки дітей та сімей Дніпровського району міста Києва</t>
  </si>
  <si>
    <t>3242      Інші заходи у сфері соціального захисту і соціального забезпечення</t>
  </si>
  <si>
    <t>4000      Культура i мистецтво</t>
  </si>
  <si>
    <t>4030      Забезпечення діяльності бібліотек</t>
  </si>
  <si>
    <t>4060      Забезпечення діяльності палаців i будинків культури, клубів, центрів дозвілля та iнших клубних закладів</t>
  </si>
  <si>
    <t>4081      Забезпечення діяльності інших закладів в галузі культури і мистецтва</t>
  </si>
  <si>
    <t>4082      Інші заходи в галузі культури і мистецтва</t>
  </si>
  <si>
    <t>5000      Фiзична культура i спорт</t>
  </si>
  <si>
    <t>5031      Розвиток здібностей у дітей та молоді з фізичної культури та спорту комунальними дитячоюнацькими спортивними школами</t>
  </si>
  <si>
    <t>Дитячо-юнацька спортивна школа № 21</t>
  </si>
  <si>
    <t>Дитячо-юнацька спортивна школа № 10</t>
  </si>
  <si>
    <t>Дитячо-юнацька спортивна школа № 3</t>
  </si>
  <si>
    <t>Дитячо-юнацька спортивна школа № 16</t>
  </si>
  <si>
    <t>5061     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</si>
  <si>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6000      Житлово-комунальне господарство</t>
  </si>
  <si>
    <t>6011      Експлуатація та технічне обслуговування житлового фонду</t>
  </si>
  <si>
    <t>Комунальне підприємство "Керуюча компанія з обслуговування житлового фонду Дніпровського району м.Києва"</t>
  </si>
  <si>
    <t>8000      Інша діяльність</t>
  </si>
  <si>
    <t>8700      Резервний фонд</t>
  </si>
  <si>
    <t>8753     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</si>
  <si>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4112 Надання кредитів підприємствам, установам, організаціям</t>
  </si>
  <si>
    <t>8754     Повернення допомоги, наданоії суб'єктам господарювання на заходи із запобігання та ліквідаціії надзвичайної ситуації a6o стихійного лиха за рахунок коштів резервного фонду місцевого бюджету</t>
  </si>
  <si>
    <t>7 7. Інші кошти спеціального фонду</t>
  </si>
  <si>
    <t>3110 Придбання обладнання і предметів довгострокового користування</t>
  </si>
  <si>
    <t>3132 Капітальний ремонт інших об`єктів</t>
  </si>
  <si>
    <t>1183      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</si>
  <si>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1184      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</si>
  <si>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1300 Будівництво освітніх установ та закладів</t>
  </si>
  <si>
    <t>3122 Капітальне будівництво (придбання) інших об'єктів</t>
  </si>
  <si>
    <t>1403     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</si>
  <si>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Житлово-будівельний кооператив "Суднобудівник-13"</t>
  </si>
  <si>
    <t>3210 Капітальні трансферти підприємствам (установам, організаціям)</t>
  </si>
  <si>
    <t>Житлово-будівельний кооператив "Арсеналець-16"</t>
  </si>
  <si>
    <t>Об'єднання співвласників багатоквартирного будинку "Ентузіастів 27"</t>
  </si>
  <si>
    <t>Житлово-будівельний кооператив "Арсеналець-9"</t>
  </si>
  <si>
    <t>Житлово-будівельний кооператив "Педагог"</t>
  </si>
  <si>
    <t>Житлово-будівельний кооператив "Слово-2"</t>
  </si>
  <si>
    <t>Житлово-будівельний кооператив "Печерський 1"</t>
  </si>
  <si>
    <t>6015      Забезпечення надійної та безперебійної експлуатації ліфтів</t>
  </si>
  <si>
    <t>Об"єднання співвласників багатоквартирного будинку  "Флоренції 5"</t>
  </si>
  <si>
    <t>Об'єднання співвласників багатоквартирного будинку "Башта на Давидова 12"</t>
  </si>
  <si>
    <t>Об"єднання співвласників багатоквартирного будинку "Стародарницький"</t>
  </si>
  <si>
    <t>Об'єднання співвласників багатоквартирного будинку "Челябінська 9-б"</t>
  </si>
  <si>
    <t>Житлово-будівельний кооператив "Академічний-12"</t>
  </si>
  <si>
    <t>6017      Інша діяльність, пов’язана з експлуатацією об’єктів житлово-комунального господарства</t>
  </si>
  <si>
    <t>6083     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</si>
  <si>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3121 Капітальне будівництво (придбання) житла</t>
  </si>
  <si>
    <t>6090      Інша діяльність у сфері житлово-комунального господарства</t>
  </si>
  <si>
    <t>Об'єднання співвласників багатоквартирного будинку "Аболмасова, 3"</t>
  </si>
  <si>
    <t>Об'єднання співвласників багатоквартирного будинку "Домобудівник-7"</t>
  </si>
  <si>
    <t xml:space="preserve">План на рік з урахуванням змін
</t>
  </si>
  <si>
    <t xml:space="preserve">Аналіз фінансування установ за період з 01.01.2025 по 30.06.2025 </t>
  </si>
  <si>
    <t>КПКВ</t>
  </si>
  <si>
    <t>Розпорядник</t>
  </si>
  <si>
    <t>4310160 Керівництво і управління Дніпровською районною в місті Києві державною адміністрацією</t>
  </si>
  <si>
    <t>077968 Відділ культури  Дніпровської районної в місті Києві державної адміністрації</t>
  </si>
  <si>
    <t>077899 Відділ молоді  та спорту Дніпровської районної в місті  Києві державної адміністрації</t>
  </si>
  <si>
    <t>077651 Дніпровсь районна в місті Києві Державна адмінісирація</t>
  </si>
  <si>
    <t>077944 Служба у справах дітей Дніпровської районної в місті  Києві державної адміністрації</t>
  </si>
  <si>
    <t>077873 Управління  соціального захисту населення Дніпровської районної в місті  Києві державної адміністрації</t>
  </si>
  <si>
    <t>021027 Управління (Центр) надання адміністративних послуг Дніпровської районної в місті Києві державної адміністрації</t>
  </si>
  <si>
    <t>077897 Управління житлово комунального господарства Дніпровської  в місті Києві державної адміністрації</t>
  </si>
  <si>
    <t>077922 Управління освіті Дніпрвської районної в місті Києві державної адміністрації</t>
  </si>
  <si>
    <t>077865 Фінансове управління Дніпровської районної в місті Києві державної адміністрації</t>
  </si>
  <si>
    <t>4311010 Надання дошкільної освіти</t>
  </si>
  <si>
    <t>035551 Дошкільний навчальний заклад  №628</t>
  </si>
  <si>
    <t>035442 Ліцей «Домінанта» Дніпровського району м. Києва</t>
  </si>
  <si>
    <t>018518 Ліцей № 141 "Освітні ресурси та технологічний тренінг" Дніпровського району м.Києва</t>
  </si>
  <si>
    <t>4311021 Надання загальної середньої освіти закладами загальної середньої освіти за рахунок коштів місцевого бюджету</t>
  </si>
  <si>
    <t>035568 Ліцей № 272 "Український колеж ім. В.О.Сухомлинського" Дніпровського району м.Києва</t>
  </si>
  <si>
    <t>025092 Ліцей № 42 Дніпровського району м.Києва</t>
  </si>
  <si>
    <t>4311022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</si>
  <si>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4311023 Надання загальної середньої освіти спеціалізованими закладами загальної середньої освіти за рахунок коштів місцевого бюджету</t>
  </si>
  <si>
    <t>087537 Мистецький ліцей "Зміна" Дніпровського району м.Києва</t>
  </si>
  <si>
    <t>4311031 Надання загальної середньої освіти закладами загальної середньої освіти за рахунок освітньої субвенції</t>
  </si>
  <si>
    <t>001131 "Приватний заклад загальної середньої освіти "Київський ліцей "Симфонія"</t>
  </si>
  <si>
    <t>110009 Гімназія "Столиця"</t>
  </si>
  <si>
    <t>160667 Іноваційний ліцей "Ай-скул"</t>
  </si>
  <si>
    <t>000783 Приватний заклад освіти "Ліцей "Сенс Скул"</t>
  </si>
  <si>
    <t>002368 Приватний заклад освіти Київська початкова школа "ПЛАНЕТА ДИТИНСТВА"</t>
  </si>
  <si>
    <t>000624 Приватний організація (установа, заклад) "Приватний заклад загальної середньої освіти "Київська гімназія "Гелаксі Скул"</t>
  </si>
  <si>
    <t>013716 Товариство з обмеженою відповідальністю "Академія сучасної освіти"</t>
  </si>
  <si>
    <t>102525 Товариство з обмеженою відповідальністю "Києво-Воскресенський ліцей"</t>
  </si>
  <si>
    <t>025062 Товариство з обмеженою відповідальністю "Київський ліцей Нью Тон"</t>
  </si>
  <si>
    <t>010973 Товариство з обмеженою відповідальністю "Центр освіти "Джемм"</t>
  </si>
  <si>
    <t>4311032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</si>
  <si>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4311033 Надання загальної середньої освіти спеціалізованими закладами загальної середньої освіти за рахунок освітньої субвенції</t>
  </si>
  <si>
    <t>4311070 Надання позашкільної освіти закладами позашкільної освіти, заходи із позашкільної роботи з дітьми</t>
  </si>
  <si>
    <t>033877 Станція юних техніків-центру науково-технічної творчості молоді</t>
  </si>
  <si>
    <t>4311080 Надання спеціалізованої освіти мистецькими школами</t>
  </si>
  <si>
    <t>095186 Дитяча школа мистецтв № 6 ім. Г.П. Жуковського  Дніпровського району міста Києва</t>
  </si>
  <si>
    <t>4311141 Забезпечення діяльності інших закладів у сфері освіти</t>
  </si>
  <si>
    <t>4311142 Інші програми та заходи у сфері освіти</t>
  </si>
  <si>
    <t>4311151 Забезпечення діяльності інклюзивно-ресурсних центрів за рахунок коштів місцевого бюджету</t>
  </si>
  <si>
    <t>014224 Інклюзивно-ресурсний центр №13 Дніпровського району м.Києва</t>
  </si>
  <si>
    <t>184128 Інклюзивно-ресурсний центр №4 Дніпровського району м.Києва</t>
  </si>
  <si>
    <t>4311152 Забезпечення діяльності інклюзивно-ресурсних центрів за рахунок освітньої субвенції</t>
  </si>
  <si>
    <t>4311200 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</si>
  <si>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4311291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</si>
  <si>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4311600 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</si>
  <si>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4313105 Надання реабілітаційних послуг особам з інвалідністю та дітям з інвалідністю</t>
  </si>
  <si>
    <t>095185 Центр комплексної реабілітації для осіб з інвалідністю Дніпровського району міста Києва</t>
  </si>
  <si>
    <t>4313114 Забезпечення умов для догляду та виховання дітей та молоді в дитячих будинках сімейного типу, прийомних сім’ях та сім’ях патронатних вихователів</t>
  </si>
  <si>
    <t>4313121 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</si>
  <si>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078195 Дніпровський районний в місті Київі центр соціальних служб</t>
  </si>
  <si>
    <t>4313132 Створення умов для творчого, інтелектуального, духовного та фізичного розвитку дітей та молоді за місцем їх проживання</t>
  </si>
  <si>
    <t>087379 Центр по роботі з дітьми та молоддю за місцем проживання Дніпровського району м. Києва</t>
  </si>
  <si>
    <t>4313133 Забезпечення молодіжними центрами соціального становлення та розвитку молоді та інші заходи у сфері молодіжної політики</t>
  </si>
  <si>
    <t>4313241 Надання комплексу послуг особам/сім’ям у сфері соціального захисту та соціального забезпечення іншими надавачами соціальних послуг</t>
  </si>
  <si>
    <t>129065 Центр соціальної підтримки дітей та сімей Дніпровського району міста Києва</t>
  </si>
  <si>
    <t>4313242 Інші заходи у сфері соціального захисту і соціального забезпечення</t>
  </si>
  <si>
    <t>4314030 Забезпечення діяльності бібліотек</t>
  </si>
  <si>
    <t>4314060 Забезпечення діяльності палаців i будинків культури, клубів, центрів дозвілля та iнших клубних закладів</t>
  </si>
  <si>
    <t>4314081 Забезпечення діяльності інших закладів в галузі культури і мистецтва</t>
  </si>
  <si>
    <t>4314082 Інші заходи в галузі культури і мистецтва</t>
  </si>
  <si>
    <t>4315031 Розвиток здібностей у дітей та молоді з фізичної культури та спорту комунальними дитячо-юнацькими спортивними школами</t>
  </si>
  <si>
    <t>004745 Дитячо-юнацька спортивна школа № 10</t>
  </si>
  <si>
    <t>009561 Дитячо-юнацька спортивна школа № 16</t>
  </si>
  <si>
    <t>004551 Дитячо-юнацька спортивна школа № 21</t>
  </si>
  <si>
    <t>007636 Дитячо-юнацька спортивна школа № 3</t>
  </si>
  <si>
    <t>4315061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</si>
  <si>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4316011 Експлуатація та технічне обслуговування житлового фонду</t>
  </si>
  <si>
    <t>089829 Комунальне підприємство "Керуюча компанія з обслуговування житлового фонду Дніпровського району м.Києва"</t>
  </si>
  <si>
    <t>4318753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</si>
  <si>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4318754 Повернення допомоги, наданоії суб'єктам господарювання на заходи із запобігання та ліквідаціії надзвичайної ситуації a6o стихійного лиха за рахунок коштів резервного фонду місцевого бюджету</t>
  </si>
  <si>
    <t>4311183 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</si>
  <si>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4311184 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</si>
  <si>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4311292 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</si>
  <si>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4311300 Будівництво освітніх установ та закладів</t>
  </si>
  <si>
    <t>4311310 Реалізація проектів (заходів) з відновлення освітніх установ та закладів, пошкоджених / знищених внаслідок збройної агресії, за рахунок коштів місцевих бюджетів</t>
  </si>
  <si>
    <t>4311403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</si>
  <si>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4313225 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10¹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</si>
  <si>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3240 Капітальні трансферти населенню</t>
  </si>
  <si>
    <t>002015 Житлово-будівельний кооператив "Арсеналець-16"</t>
  </si>
  <si>
    <t>096352 Житлово-будівельний кооператив "Арсеналець-9"</t>
  </si>
  <si>
    <t>096814 Житлово-будівельний кооператив "Педагог"</t>
  </si>
  <si>
    <t>099378 Житлово-будівельний кооператив "Печерський 1"</t>
  </si>
  <si>
    <t>098103 Житлово-будівельний кооператив "Слово-2"</t>
  </si>
  <si>
    <t>000305 Житлово-будівельний кооператив "Суднобудівник-13"</t>
  </si>
  <si>
    <t>024262 Об'єднання співвласників багатоквартирного будинку "Ентузіастів 27"</t>
  </si>
  <si>
    <t>3131 Капітальний ремонт житлового фонду (приміщень)</t>
  </si>
  <si>
    <t>4316015 Забезпечення надійної та безперебійної експлуатації ліфтів</t>
  </si>
  <si>
    <t>029069 Житлово-будівельний кооператив "Академічний-12"</t>
  </si>
  <si>
    <t>000077 Об'єднання співвласників багатоквартирного будинку  "Флоренції 5"</t>
  </si>
  <si>
    <t>000539 Об'єднання співвласників багатоквартирного будинку "Башта на Давидова 12"</t>
  </si>
  <si>
    <t>001217 Об'єднання співвласників багатоквартирного будинку "Стародарницький"</t>
  </si>
  <si>
    <t>001629 Об'єднання співвласників багатоквартирного будинку "Челябінська 9-б"</t>
  </si>
  <si>
    <t>4316017 Інша діяльність, пов’язана з експлуатацією об’єктів житлово-комунального господарства</t>
  </si>
  <si>
    <t>4316083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</si>
  <si>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4316090 Інша діяльність у сфері житлово-комунального господарства</t>
  </si>
  <si>
    <t>016003 Об'єднання співвласників багатоквартирного будинку "Аболмасова, 3"</t>
  </si>
  <si>
    <t>094160 Об'єднання співвласників багатоквартирного будинку "Домобудівник-7"</t>
  </si>
  <si>
    <t>4316091 Будівництво об’єктів житлово-комунального господарства</t>
  </si>
  <si>
    <t>008485 Об'єднання співвласників багатоквартирного будинку "Русанівська затока"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</si>
</sst>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037F-F5B7-4843-B290-0F4055DD2911}">
  <dimension ref="A1:G741"/>
  <sheetViews>
    <sheetView tabSelected="1" workbookViewId="0">
      <selection activeCell="C2" sqref="C2:C5"/>
    </sheetView>
  </sheetViews>
  <sheetFormatPr defaultRowHeight="15" x14ac:dyDescent="0.25"/>
  <cols>
    <col min="1" max="1" width="56.140625" style="1" customWidth="1"/>
    <col min="2" max="2" width="20" style="2" customWidth="1"/>
    <col min="3" max="3" width="16" style="2" customWidth="1"/>
    <col min="4" max="4" width="17.7109375" style="2" customWidth="1"/>
    <col min="5" max="5" width="16.42578125" style="2" customWidth="1"/>
    <col min="6" max="6" width="13.140625" style="2" customWidth="1"/>
    <col min="7" max="7" width="12" style="2" customWidth="1"/>
  </cols>
  <sheetData>
    <row r="1" spans="1:7" x14ac:dyDescent="0.25">
      <c r="A1" s="28" t="s">
        <v>135</v>
      </c>
      <c r="B1" s="29"/>
      <c r="C1" s="29"/>
      <c r="D1" s="29"/>
      <c r="E1" s="29"/>
      <c r="F1" s="29"/>
      <c r="G1" s="29"/>
    </row>
    <row r="2" spans="1:7" ht="15" customHeight="1" x14ac:dyDescent="0.25">
      <c r="A2" s="38" t="s">
        <v>1</v>
      </c>
      <c r="B2" s="27" t="s">
        <v>134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x14ac:dyDescent="0.25">
      <c r="A3" s="38" t="s">
        <v>136</v>
      </c>
      <c r="B3" s="27"/>
      <c r="C3" s="27"/>
      <c r="D3" s="27"/>
      <c r="E3" s="27"/>
      <c r="F3" s="27"/>
      <c r="G3" s="27"/>
    </row>
    <row r="4" spans="1:7" x14ac:dyDescent="0.25">
      <c r="A4" s="38" t="s">
        <v>137</v>
      </c>
      <c r="B4" s="27"/>
      <c r="C4" s="27"/>
      <c r="D4" s="27"/>
      <c r="E4" s="27"/>
      <c r="F4" s="27"/>
      <c r="G4" s="27"/>
    </row>
    <row r="5" spans="1:7" x14ac:dyDescent="0.25">
      <c r="A5" s="38" t="s">
        <v>9</v>
      </c>
      <c r="B5" s="27"/>
      <c r="C5" s="27"/>
      <c r="D5" s="27"/>
      <c r="E5" s="27"/>
      <c r="F5" s="27"/>
      <c r="G5" s="27"/>
    </row>
    <row r="6" spans="1:7" x14ac:dyDescent="0.25">
      <c r="A6" s="4" t="s">
        <v>10</v>
      </c>
      <c r="B6" s="5">
        <f>B7+B86+B413+B468+B502+B548+B552</f>
        <v>3304073267</v>
      </c>
      <c r="C6" s="5">
        <f t="shared" ref="C6:E6" si="0">C7+C86+C413+C468+C502+C548+C552</f>
        <v>2018558515</v>
      </c>
      <c r="D6" s="5">
        <f t="shared" si="0"/>
        <v>1820709661.6800003</v>
      </c>
      <c r="E6" s="5">
        <f t="shared" si="0"/>
        <v>1813130917.48</v>
      </c>
      <c r="F6" s="6">
        <f>D6/C6</f>
        <v>0.90198507903051817</v>
      </c>
      <c r="G6" s="6">
        <f>D6/B6</f>
        <v>0.5510500266034204</v>
      </c>
    </row>
    <row r="7" spans="1:7" x14ac:dyDescent="0.25">
      <c r="A7" s="30" t="s">
        <v>11</v>
      </c>
      <c r="B7" s="8">
        <f t="shared" ref="B7:E7" si="1">B9+B18+B27+B37+B46+B56+B65+B73+B77</f>
        <v>197908500</v>
      </c>
      <c r="C7" s="8">
        <f t="shared" si="1"/>
        <v>101428254</v>
      </c>
      <c r="D7" s="8">
        <f t="shared" si="1"/>
        <v>90686811.159999996</v>
      </c>
      <c r="E7" s="8">
        <f t="shared" si="1"/>
        <v>90613194.360000014</v>
      </c>
      <c r="F7" s="9">
        <f>D7/C7</f>
        <v>0.89409811944510054</v>
      </c>
      <c r="G7" s="9">
        <f>D7/B7</f>
        <v>0.45822595371093205</v>
      </c>
    </row>
    <row r="8" spans="1:7" ht="24" x14ac:dyDescent="0.25">
      <c r="A8" s="31" t="s">
        <v>138</v>
      </c>
      <c r="B8" s="32">
        <v>197908500</v>
      </c>
      <c r="C8" s="32">
        <v>101428254</v>
      </c>
      <c r="D8" s="32">
        <v>90686811.159999996</v>
      </c>
      <c r="E8" s="32">
        <v>90613194.359999999</v>
      </c>
      <c r="F8" s="33">
        <f t="shared" ref="F8:F71" si="2">D8/C8</f>
        <v>0.89409811944510054</v>
      </c>
      <c r="G8" s="33">
        <f t="shared" ref="G8:G71" si="3">D8/B8</f>
        <v>0.45822595371093205</v>
      </c>
    </row>
    <row r="9" spans="1:7" ht="24" x14ac:dyDescent="0.25">
      <c r="A9" s="13" t="s">
        <v>139</v>
      </c>
      <c r="B9" s="14">
        <v>3111074</v>
      </c>
      <c r="C9" s="14">
        <v>1661824</v>
      </c>
      <c r="D9" s="14">
        <v>1605149.77</v>
      </c>
      <c r="E9" s="14">
        <v>1562104.75</v>
      </c>
      <c r="F9" s="34">
        <f t="shared" si="2"/>
        <v>0.9658963704941077</v>
      </c>
      <c r="G9" s="34">
        <f t="shared" si="3"/>
        <v>0.51594715201245611</v>
      </c>
    </row>
    <row r="10" spans="1:7" x14ac:dyDescent="0.25">
      <c r="A10" s="15" t="s">
        <v>14</v>
      </c>
      <c r="B10" s="16">
        <v>2433756</v>
      </c>
      <c r="C10" s="16">
        <v>1278879</v>
      </c>
      <c r="D10" s="16">
        <v>1251195.78</v>
      </c>
      <c r="E10" s="16">
        <v>1251195.78</v>
      </c>
      <c r="F10" s="17">
        <f t="shared" si="2"/>
        <v>0.97835352679964249</v>
      </c>
      <c r="G10" s="17">
        <f t="shared" si="3"/>
        <v>0.51410074797966598</v>
      </c>
    </row>
    <row r="11" spans="1:7" x14ac:dyDescent="0.25">
      <c r="A11" s="15" t="s">
        <v>15</v>
      </c>
      <c r="B11" s="16">
        <v>535426</v>
      </c>
      <c r="C11" s="16">
        <v>281353</v>
      </c>
      <c r="D11" s="16">
        <v>275263.09999999998</v>
      </c>
      <c r="E11" s="16">
        <v>275263.09999999998</v>
      </c>
      <c r="F11" s="17">
        <f t="shared" si="2"/>
        <v>0.97835494912085519</v>
      </c>
      <c r="G11" s="17">
        <f t="shared" si="3"/>
        <v>0.51410110827640043</v>
      </c>
    </row>
    <row r="12" spans="1:7" x14ac:dyDescent="0.25">
      <c r="A12" s="15" t="s">
        <v>16</v>
      </c>
      <c r="B12" s="16">
        <v>51100</v>
      </c>
      <c r="C12" s="16">
        <v>51100</v>
      </c>
      <c r="D12" s="16">
        <v>46885.02</v>
      </c>
      <c r="E12" s="16">
        <v>3840</v>
      </c>
      <c r="F12" s="17">
        <f t="shared" si="2"/>
        <v>0.91751506849315068</v>
      </c>
      <c r="G12" s="17">
        <f t="shared" si="3"/>
        <v>0.91751506849315068</v>
      </c>
    </row>
    <row r="13" spans="1:7" x14ac:dyDescent="0.25">
      <c r="A13" s="15" t="s">
        <v>17</v>
      </c>
      <c r="B13" s="16">
        <v>35000</v>
      </c>
      <c r="C13" s="16">
        <v>20000</v>
      </c>
      <c r="D13" s="16">
        <v>13045.22</v>
      </c>
      <c r="E13" s="16">
        <v>13045.22</v>
      </c>
      <c r="F13" s="17">
        <f t="shared" si="2"/>
        <v>0.65226099999999998</v>
      </c>
      <c r="G13" s="17">
        <f t="shared" si="3"/>
        <v>0.3727205714285714</v>
      </c>
    </row>
    <row r="14" spans="1:7" x14ac:dyDescent="0.25">
      <c r="A14" s="15" t="s">
        <v>18</v>
      </c>
      <c r="B14" s="16">
        <v>22952</v>
      </c>
      <c r="C14" s="16">
        <v>14020</v>
      </c>
      <c r="D14" s="16">
        <v>9558.7900000000009</v>
      </c>
      <c r="E14" s="16">
        <v>9558.7900000000009</v>
      </c>
      <c r="F14" s="17">
        <f t="shared" si="2"/>
        <v>0.68179671897289595</v>
      </c>
      <c r="G14" s="17">
        <f t="shared" si="3"/>
        <v>0.41646871732310914</v>
      </c>
    </row>
    <row r="15" spans="1:7" x14ac:dyDescent="0.25">
      <c r="A15" s="15" t="s">
        <v>19</v>
      </c>
      <c r="B15" s="16">
        <v>2492</v>
      </c>
      <c r="C15" s="16">
        <v>1298</v>
      </c>
      <c r="D15" s="16">
        <v>1156.3699999999999</v>
      </c>
      <c r="E15" s="16">
        <v>1156.3699999999999</v>
      </c>
      <c r="F15" s="17">
        <f t="shared" si="2"/>
        <v>0.89088597842835127</v>
      </c>
      <c r="G15" s="17">
        <f t="shared" si="3"/>
        <v>0.46403290529695018</v>
      </c>
    </row>
    <row r="16" spans="1:7" x14ac:dyDescent="0.25">
      <c r="A16" s="15" t="s">
        <v>20</v>
      </c>
      <c r="B16" s="16">
        <v>28500</v>
      </c>
      <c r="C16" s="16">
        <v>14250</v>
      </c>
      <c r="D16" s="16">
        <v>7121.52</v>
      </c>
      <c r="E16" s="16">
        <v>7121.52</v>
      </c>
      <c r="F16" s="17">
        <f t="shared" si="2"/>
        <v>0.49975578947368426</v>
      </c>
      <c r="G16" s="17">
        <f t="shared" si="3"/>
        <v>0.24987789473684213</v>
      </c>
    </row>
    <row r="17" spans="1:7" x14ac:dyDescent="0.25">
      <c r="A17" s="15" t="s">
        <v>32</v>
      </c>
      <c r="B17" s="16">
        <v>1848</v>
      </c>
      <c r="C17" s="19">
        <v>924</v>
      </c>
      <c r="D17" s="19">
        <v>923.97</v>
      </c>
      <c r="E17" s="19">
        <v>923.97</v>
      </c>
      <c r="F17" s="17">
        <f t="shared" si="2"/>
        <v>0.99996753246753245</v>
      </c>
      <c r="G17" s="17">
        <f t="shared" si="3"/>
        <v>0.49998376623376622</v>
      </c>
    </row>
    <row r="18" spans="1:7" ht="24" x14ac:dyDescent="0.25">
      <c r="A18" s="13" t="s">
        <v>140</v>
      </c>
      <c r="B18" s="14">
        <v>3198150</v>
      </c>
      <c r="C18" s="14">
        <v>1651587</v>
      </c>
      <c r="D18" s="14">
        <v>1497448.49</v>
      </c>
      <c r="E18" s="14">
        <v>1497448.49</v>
      </c>
      <c r="F18" s="34">
        <f t="shared" si="2"/>
        <v>0.90667248531261146</v>
      </c>
      <c r="G18" s="34">
        <f t="shared" si="3"/>
        <v>0.46822334474618138</v>
      </c>
    </row>
    <row r="19" spans="1:7" x14ac:dyDescent="0.25">
      <c r="A19" s="15" t="s">
        <v>14</v>
      </c>
      <c r="B19" s="16">
        <v>2442901</v>
      </c>
      <c r="C19" s="16">
        <v>1238770</v>
      </c>
      <c r="D19" s="16">
        <v>1137321.76</v>
      </c>
      <c r="E19" s="16">
        <v>1137321.76</v>
      </c>
      <c r="F19" s="17">
        <f t="shared" si="2"/>
        <v>0.9181056693332903</v>
      </c>
      <c r="G19" s="17">
        <f t="shared" si="3"/>
        <v>0.46556195277663731</v>
      </c>
    </row>
    <row r="20" spans="1:7" x14ac:dyDescent="0.25">
      <c r="A20" s="15" t="s">
        <v>15</v>
      </c>
      <c r="B20" s="16">
        <v>537438</v>
      </c>
      <c r="C20" s="16">
        <v>272529</v>
      </c>
      <c r="D20" s="16">
        <v>250210.79</v>
      </c>
      <c r="E20" s="16">
        <v>250210.79</v>
      </c>
      <c r="F20" s="17">
        <f t="shared" si="2"/>
        <v>0.9181070271420656</v>
      </c>
      <c r="G20" s="17">
        <f t="shared" si="3"/>
        <v>0.46556214856411343</v>
      </c>
    </row>
    <row r="21" spans="1:7" x14ac:dyDescent="0.25">
      <c r="A21" s="15" t="s">
        <v>16</v>
      </c>
      <c r="B21" s="16">
        <v>69600</v>
      </c>
      <c r="C21" s="16">
        <v>63600</v>
      </c>
      <c r="D21" s="16">
        <v>50145</v>
      </c>
      <c r="E21" s="16">
        <v>50145</v>
      </c>
      <c r="F21" s="17">
        <f t="shared" si="2"/>
        <v>0.78844339622641513</v>
      </c>
      <c r="G21" s="17">
        <f t="shared" si="3"/>
        <v>0.72047413793103443</v>
      </c>
    </row>
    <row r="22" spans="1:7" x14ac:dyDescent="0.25">
      <c r="A22" s="15" t="s">
        <v>17</v>
      </c>
      <c r="B22" s="16">
        <v>78522</v>
      </c>
      <c r="C22" s="16">
        <v>43095</v>
      </c>
      <c r="D22" s="16">
        <v>33892.75</v>
      </c>
      <c r="E22" s="16">
        <v>33892.75</v>
      </c>
      <c r="F22" s="17">
        <f t="shared" si="2"/>
        <v>0.78646594732567587</v>
      </c>
      <c r="G22" s="17">
        <f t="shared" si="3"/>
        <v>0.4316338096329691</v>
      </c>
    </row>
    <row r="23" spans="1:7" x14ac:dyDescent="0.25">
      <c r="A23" s="15" t="s">
        <v>18</v>
      </c>
      <c r="B23" s="16">
        <v>19958</v>
      </c>
      <c r="C23" s="16">
        <v>13010</v>
      </c>
      <c r="D23" s="16">
        <v>12997.55</v>
      </c>
      <c r="E23" s="16">
        <v>12997.55</v>
      </c>
      <c r="F23" s="17">
        <f t="shared" si="2"/>
        <v>0.9990430438124519</v>
      </c>
      <c r="G23" s="17">
        <f t="shared" si="3"/>
        <v>0.65124511474095592</v>
      </c>
    </row>
    <row r="24" spans="1:7" x14ac:dyDescent="0.25">
      <c r="A24" s="15" t="s">
        <v>19</v>
      </c>
      <c r="B24" s="16">
        <v>3416</v>
      </c>
      <c r="C24" s="16">
        <v>1740</v>
      </c>
      <c r="D24" s="16">
        <v>1027.82</v>
      </c>
      <c r="E24" s="16">
        <v>1027.82</v>
      </c>
      <c r="F24" s="17">
        <f t="shared" si="2"/>
        <v>0.59070114942528729</v>
      </c>
      <c r="G24" s="17">
        <f t="shared" si="3"/>
        <v>0.30088407494145197</v>
      </c>
    </row>
    <row r="25" spans="1:7" x14ac:dyDescent="0.25">
      <c r="A25" s="15" t="s">
        <v>20</v>
      </c>
      <c r="B25" s="16">
        <v>40315</v>
      </c>
      <c r="C25" s="16">
        <v>18843</v>
      </c>
      <c r="D25" s="16">
        <v>11852.82</v>
      </c>
      <c r="E25" s="16">
        <v>11852.82</v>
      </c>
      <c r="F25" s="17">
        <f t="shared" si="2"/>
        <v>0.62903040917051423</v>
      </c>
      <c r="G25" s="17">
        <f t="shared" si="3"/>
        <v>0.29400520897928811</v>
      </c>
    </row>
    <row r="26" spans="1:7" ht="24" x14ac:dyDescent="0.25">
      <c r="A26" s="15" t="s">
        <v>21</v>
      </c>
      <c r="B26" s="16">
        <v>6000</v>
      </c>
      <c r="C26" s="18"/>
      <c r="D26" s="18"/>
      <c r="E26" s="18"/>
      <c r="F26" s="17">
        <v>0</v>
      </c>
      <c r="G26" s="17">
        <f t="shared" si="3"/>
        <v>0</v>
      </c>
    </row>
    <row r="27" spans="1:7" ht="18" customHeight="1" x14ac:dyDescent="0.25">
      <c r="A27" s="13" t="s">
        <v>141</v>
      </c>
      <c r="B27" s="14">
        <v>70704573</v>
      </c>
      <c r="C27" s="14">
        <v>36722214</v>
      </c>
      <c r="D27" s="14">
        <v>32086821.469999999</v>
      </c>
      <c r="E27" s="14">
        <v>32086821.469999999</v>
      </c>
      <c r="F27" s="34">
        <f t="shared" si="2"/>
        <v>0.87377143082930675</v>
      </c>
      <c r="G27" s="34">
        <f t="shared" si="3"/>
        <v>0.45381536311661197</v>
      </c>
    </row>
    <row r="28" spans="1:7" x14ac:dyDescent="0.25">
      <c r="A28" s="15" t="s">
        <v>14</v>
      </c>
      <c r="B28" s="16">
        <v>52452781</v>
      </c>
      <c r="C28" s="16">
        <v>27251280</v>
      </c>
      <c r="D28" s="16">
        <v>25282438.27</v>
      </c>
      <c r="E28" s="16">
        <v>25282438.27</v>
      </c>
      <c r="F28" s="17">
        <f t="shared" si="2"/>
        <v>0.92775232099189464</v>
      </c>
      <c r="G28" s="17">
        <f t="shared" si="3"/>
        <v>0.48200377154454405</v>
      </c>
    </row>
    <row r="29" spans="1:7" x14ac:dyDescent="0.25">
      <c r="A29" s="15" t="s">
        <v>15</v>
      </c>
      <c r="B29" s="16">
        <v>11539612</v>
      </c>
      <c r="C29" s="16">
        <v>5995284</v>
      </c>
      <c r="D29" s="16">
        <v>5368980.2199999997</v>
      </c>
      <c r="E29" s="16">
        <v>5368980.2199999997</v>
      </c>
      <c r="F29" s="17">
        <f t="shared" si="2"/>
        <v>0.89553392633276419</v>
      </c>
      <c r="G29" s="17">
        <f t="shared" si="3"/>
        <v>0.46526522902156497</v>
      </c>
    </row>
    <row r="30" spans="1:7" x14ac:dyDescent="0.25">
      <c r="A30" s="15" t="s">
        <v>16</v>
      </c>
      <c r="B30" s="16">
        <v>1407400</v>
      </c>
      <c r="C30" s="16">
        <v>703698</v>
      </c>
      <c r="D30" s="16">
        <v>108774.64</v>
      </c>
      <c r="E30" s="16">
        <v>108774.64</v>
      </c>
      <c r="F30" s="17">
        <f t="shared" si="2"/>
        <v>0.15457574129811369</v>
      </c>
      <c r="G30" s="17">
        <f t="shared" si="3"/>
        <v>7.7287650987636777E-2</v>
      </c>
    </row>
    <row r="31" spans="1:7" x14ac:dyDescent="0.25">
      <c r="A31" s="15" t="s">
        <v>17</v>
      </c>
      <c r="B31" s="16">
        <v>2043264</v>
      </c>
      <c r="C31" s="16">
        <v>1021632</v>
      </c>
      <c r="D31" s="16">
        <v>699604.9</v>
      </c>
      <c r="E31" s="16">
        <v>699604.9</v>
      </c>
      <c r="F31" s="17">
        <f t="shared" si="2"/>
        <v>0.68479149047798038</v>
      </c>
      <c r="G31" s="17">
        <f t="shared" si="3"/>
        <v>0.34239574523899019</v>
      </c>
    </row>
    <row r="32" spans="1:7" x14ac:dyDescent="0.25">
      <c r="A32" s="15" t="s">
        <v>18</v>
      </c>
      <c r="B32" s="16">
        <v>1310024</v>
      </c>
      <c r="C32" s="16">
        <v>798741</v>
      </c>
      <c r="D32" s="16">
        <v>309923.93</v>
      </c>
      <c r="E32" s="16">
        <v>309923.93</v>
      </c>
      <c r="F32" s="17">
        <f t="shared" si="2"/>
        <v>0.38801555197492055</v>
      </c>
      <c r="G32" s="17">
        <f t="shared" si="3"/>
        <v>0.23657881840332695</v>
      </c>
    </row>
    <row r="33" spans="1:7" x14ac:dyDescent="0.25">
      <c r="A33" s="15" t="s">
        <v>19</v>
      </c>
      <c r="B33" s="16">
        <v>189625</v>
      </c>
      <c r="C33" s="16">
        <v>84222</v>
      </c>
      <c r="D33" s="16">
        <v>42547.22</v>
      </c>
      <c r="E33" s="16">
        <v>42547.22</v>
      </c>
      <c r="F33" s="17">
        <f t="shared" si="2"/>
        <v>0.50517940680582274</v>
      </c>
      <c r="G33" s="17">
        <f t="shared" si="3"/>
        <v>0.22437558338826633</v>
      </c>
    </row>
    <row r="34" spans="1:7" x14ac:dyDescent="0.25">
      <c r="A34" s="15" t="s">
        <v>20</v>
      </c>
      <c r="B34" s="16">
        <v>1688667</v>
      </c>
      <c r="C34" s="16">
        <v>829557</v>
      </c>
      <c r="D34" s="16">
        <v>266910.98</v>
      </c>
      <c r="E34" s="16">
        <v>266910.98</v>
      </c>
      <c r="F34" s="17">
        <f t="shared" si="2"/>
        <v>0.32175122384598043</v>
      </c>
      <c r="G34" s="17">
        <f t="shared" si="3"/>
        <v>0.15806016224631617</v>
      </c>
    </row>
    <row r="35" spans="1:7" ht="24" x14ac:dyDescent="0.25">
      <c r="A35" s="15" t="s">
        <v>21</v>
      </c>
      <c r="B35" s="16">
        <v>7200</v>
      </c>
      <c r="C35" s="16">
        <v>4800</v>
      </c>
      <c r="D35" s="18"/>
      <c r="E35" s="18"/>
      <c r="F35" s="17">
        <f t="shared" si="2"/>
        <v>0</v>
      </c>
      <c r="G35" s="17">
        <f t="shared" si="3"/>
        <v>0</v>
      </c>
    </row>
    <row r="36" spans="1:7" x14ac:dyDescent="0.25">
      <c r="A36" s="15" t="s">
        <v>23</v>
      </c>
      <c r="B36" s="16">
        <v>66000</v>
      </c>
      <c r="C36" s="16">
        <v>33000</v>
      </c>
      <c r="D36" s="16">
        <v>7641.31</v>
      </c>
      <c r="E36" s="16">
        <v>7641.31</v>
      </c>
      <c r="F36" s="17">
        <f t="shared" si="2"/>
        <v>0.2315548484848485</v>
      </c>
      <c r="G36" s="17">
        <f t="shared" si="3"/>
        <v>0.11577742424242425</v>
      </c>
    </row>
    <row r="37" spans="1:7" ht="24" x14ac:dyDescent="0.25">
      <c r="A37" s="13" t="s">
        <v>142</v>
      </c>
      <c r="B37" s="14">
        <v>15900568</v>
      </c>
      <c r="C37" s="14">
        <v>8310924</v>
      </c>
      <c r="D37" s="14">
        <v>7240508.1299999999</v>
      </c>
      <c r="E37" s="14">
        <v>7240508.1299999999</v>
      </c>
      <c r="F37" s="34">
        <f t="shared" si="2"/>
        <v>0.87120374702018688</v>
      </c>
      <c r="G37" s="34">
        <f t="shared" si="3"/>
        <v>0.45536160280563559</v>
      </c>
    </row>
    <row r="38" spans="1:7" x14ac:dyDescent="0.25">
      <c r="A38" s="15" t="s">
        <v>14</v>
      </c>
      <c r="B38" s="16">
        <v>11123899</v>
      </c>
      <c r="C38" s="16">
        <v>5753120</v>
      </c>
      <c r="D38" s="16">
        <v>5392909.54</v>
      </c>
      <c r="E38" s="16">
        <v>5392909.54</v>
      </c>
      <c r="F38" s="17">
        <f t="shared" si="2"/>
        <v>0.93738867605751319</v>
      </c>
      <c r="G38" s="17">
        <f t="shared" si="3"/>
        <v>0.48480389295156312</v>
      </c>
    </row>
    <row r="39" spans="1:7" x14ac:dyDescent="0.25">
      <c r="A39" s="15" t="s">
        <v>15</v>
      </c>
      <c r="B39" s="16">
        <v>2447258</v>
      </c>
      <c r="C39" s="16">
        <v>1265688</v>
      </c>
      <c r="D39" s="16">
        <v>1193623.8899999999</v>
      </c>
      <c r="E39" s="16">
        <v>1193623.8899999999</v>
      </c>
      <c r="F39" s="17">
        <f t="shared" si="2"/>
        <v>0.94306329047917015</v>
      </c>
      <c r="G39" s="17">
        <f t="shared" si="3"/>
        <v>0.48773929434493624</v>
      </c>
    </row>
    <row r="40" spans="1:7" x14ac:dyDescent="0.25">
      <c r="A40" s="15" t="s">
        <v>16</v>
      </c>
      <c r="B40" s="16">
        <v>337909</v>
      </c>
      <c r="C40" s="16">
        <v>160839</v>
      </c>
      <c r="D40" s="16">
        <v>117583.24</v>
      </c>
      <c r="E40" s="16">
        <v>117583.24</v>
      </c>
      <c r="F40" s="17">
        <f t="shared" si="2"/>
        <v>0.73106174497478849</v>
      </c>
      <c r="G40" s="17">
        <f t="shared" si="3"/>
        <v>0.34797309334761728</v>
      </c>
    </row>
    <row r="41" spans="1:7" x14ac:dyDescent="0.25">
      <c r="A41" s="15" t="s">
        <v>17</v>
      </c>
      <c r="B41" s="16">
        <v>700000</v>
      </c>
      <c r="C41" s="16">
        <v>385780</v>
      </c>
      <c r="D41" s="16">
        <v>324385.40000000002</v>
      </c>
      <c r="E41" s="16">
        <v>324385.40000000002</v>
      </c>
      <c r="F41" s="17">
        <f t="shared" si="2"/>
        <v>0.84085592824926125</v>
      </c>
      <c r="G41" s="17">
        <f t="shared" si="3"/>
        <v>0.46340771428571431</v>
      </c>
    </row>
    <row r="42" spans="1:7" x14ac:dyDescent="0.25">
      <c r="A42" s="15" t="s">
        <v>26</v>
      </c>
      <c r="B42" s="16">
        <v>5200</v>
      </c>
      <c r="C42" s="16">
        <v>5200</v>
      </c>
      <c r="D42" s="16">
        <v>2600</v>
      </c>
      <c r="E42" s="16">
        <v>2600</v>
      </c>
      <c r="F42" s="17">
        <f t="shared" si="2"/>
        <v>0.5</v>
      </c>
      <c r="G42" s="17">
        <f t="shared" si="3"/>
        <v>0.5</v>
      </c>
    </row>
    <row r="43" spans="1:7" x14ac:dyDescent="0.25">
      <c r="A43" s="15" t="s">
        <v>18</v>
      </c>
      <c r="B43" s="16">
        <v>666093</v>
      </c>
      <c r="C43" s="16">
        <v>431838</v>
      </c>
      <c r="D43" s="16">
        <v>134470.09</v>
      </c>
      <c r="E43" s="16">
        <v>134470.09</v>
      </c>
      <c r="F43" s="17">
        <f t="shared" si="2"/>
        <v>0.31139012777939873</v>
      </c>
      <c r="G43" s="17">
        <f t="shared" si="3"/>
        <v>0.20187885175193254</v>
      </c>
    </row>
    <row r="44" spans="1:7" x14ac:dyDescent="0.25">
      <c r="A44" s="15" t="s">
        <v>19</v>
      </c>
      <c r="B44" s="16">
        <v>63114</v>
      </c>
      <c r="C44" s="16">
        <v>32073</v>
      </c>
      <c r="D44" s="16">
        <v>8581.77</v>
      </c>
      <c r="E44" s="16">
        <v>8581.77</v>
      </c>
      <c r="F44" s="17">
        <f t="shared" si="2"/>
        <v>0.267569918623141</v>
      </c>
      <c r="G44" s="17">
        <f t="shared" si="3"/>
        <v>0.13597252590550432</v>
      </c>
    </row>
    <row r="45" spans="1:7" x14ac:dyDescent="0.25">
      <c r="A45" s="15" t="s">
        <v>20</v>
      </c>
      <c r="B45" s="16">
        <v>557095</v>
      </c>
      <c r="C45" s="16">
        <v>276386</v>
      </c>
      <c r="D45" s="16">
        <v>66354.2</v>
      </c>
      <c r="E45" s="16">
        <v>66354.2</v>
      </c>
      <c r="F45" s="17">
        <f t="shared" si="2"/>
        <v>0.24007800684549868</v>
      </c>
      <c r="G45" s="17">
        <f t="shared" si="3"/>
        <v>0.11910751308125185</v>
      </c>
    </row>
    <row r="46" spans="1:7" ht="24" x14ac:dyDescent="0.25">
      <c r="A46" s="13" t="s">
        <v>143</v>
      </c>
      <c r="B46" s="14">
        <v>45171222</v>
      </c>
      <c r="C46" s="14">
        <v>22805519</v>
      </c>
      <c r="D46" s="14">
        <v>21857900.420000002</v>
      </c>
      <c r="E46" s="14">
        <v>21857900.420000002</v>
      </c>
      <c r="F46" s="34">
        <f t="shared" si="2"/>
        <v>0.9584478397531756</v>
      </c>
      <c r="G46" s="34">
        <f t="shared" si="3"/>
        <v>0.4838899514385509</v>
      </c>
    </row>
    <row r="47" spans="1:7" x14ac:dyDescent="0.25">
      <c r="A47" s="15" t="s">
        <v>14</v>
      </c>
      <c r="B47" s="16">
        <v>35074240</v>
      </c>
      <c r="C47" s="16">
        <v>17673717</v>
      </c>
      <c r="D47" s="16">
        <v>17253252.27</v>
      </c>
      <c r="E47" s="16">
        <v>17253252.27</v>
      </c>
      <c r="F47" s="17">
        <f t="shared" si="2"/>
        <v>0.97620960378623234</v>
      </c>
      <c r="G47" s="17">
        <f t="shared" si="3"/>
        <v>0.49190666055771987</v>
      </c>
    </row>
    <row r="48" spans="1:7" x14ac:dyDescent="0.25">
      <c r="A48" s="15" t="s">
        <v>15</v>
      </c>
      <c r="B48" s="16">
        <v>7716332</v>
      </c>
      <c r="C48" s="16">
        <v>3888217</v>
      </c>
      <c r="D48" s="16">
        <v>3583830.41</v>
      </c>
      <c r="E48" s="16">
        <v>3583830.41</v>
      </c>
      <c r="F48" s="17">
        <f t="shared" si="2"/>
        <v>0.92171563727024497</v>
      </c>
      <c r="G48" s="17">
        <f t="shared" si="3"/>
        <v>0.46444740972783444</v>
      </c>
    </row>
    <row r="49" spans="1:7" x14ac:dyDescent="0.25">
      <c r="A49" s="15" t="s">
        <v>16</v>
      </c>
      <c r="B49" s="16">
        <v>720000</v>
      </c>
      <c r="C49" s="16">
        <v>360000</v>
      </c>
      <c r="D49" s="16">
        <v>359014.51</v>
      </c>
      <c r="E49" s="16">
        <v>359014.51</v>
      </c>
      <c r="F49" s="17">
        <f t="shared" si="2"/>
        <v>0.9972625277777778</v>
      </c>
      <c r="G49" s="17">
        <f t="shared" si="3"/>
        <v>0.4986312638888889</v>
      </c>
    </row>
    <row r="50" spans="1:7" x14ac:dyDescent="0.25">
      <c r="A50" s="15" t="s">
        <v>17</v>
      </c>
      <c r="B50" s="16">
        <v>476200</v>
      </c>
      <c r="C50" s="16">
        <v>240000</v>
      </c>
      <c r="D50" s="16">
        <v>204344.58</v>
      </c>
      <c r="E50" s="16">
        <v>204344.58</v>
      </c>
      <c r="F50" s="17">
        <f t="shared" si="2"/>
        <v>0.85143574999999994</v>
      </c>
      <c r="G50" s="17">
        <f t="shared" si="3"/>
        <v>0.429115035699286</v>
      </c>
    </row>
    <row r="51" spans="1:7" x14ac:dyDescent="0.25">
      <c r="A51" s="15" t="s">
        <v>26</v>
      </c>
      <c r="B51" s="16">
        <v>18000</v>
      </c>
      <c r="C51" s="16">
        <v>9000</v>
      </c>
      <c r="D51" s="16">
        <v>8752</v>
      </c>
      <c r="E51" s="16">
        <v>8752</v>
      </c>
      <c r="F51" s="17">
        <f t="shared" si="2"/>
        <v>0.97244444444444444</v>
      </c>
      <c r="G51" s="17">
        <f t="shared" si="3"/>
        <v>0.48622222222222222</v>
      </c>
    </row>
    <row r="52" spans="1:7" x14ac:dyDescent="0.25">
      <c r="A52" s="15" t="s">
        <v>18</v>
      </c>
      <c r="B52" s="16">
        <v>701810</v>
      </c>
      <c r="C52" s="16">
        <v>433509</v>
      </c>
      <c r="D52" s="16">
        <v>279975.03999999998</v>
      </c>
      <c r="E52" s="16">
        <v>279975.03999999998</v>
      </c>
      <c r="F52" s="17">
        <f t="shared" si="2"/>
        <v>0.64583443480988856</v>
      </c>
      <c r="G52" s="17">
        <f t="shared" si="3"/>
        <v>0.39893281657428648</v>
      </c>
    </row>
    <row r="53" spans="1:7" x14ac:dyDescent="0.25">
      <c r="A53" s="15" t="s">
        <v>19</v>
      </c>
      <c r="B53" s="16">
        <v>24175</v>
      </c>
      <c r="C53" s="16">
        <v>11693</v>
      </c>
      <c r="D53" s="16">
        <v>8393.09</v>
      </c>
      <c r="E53" s="16">
        <v>8393.09</v>
      </c>
      <c r="F53" s="17">
        <f t="shared" si="2"/>
        <v>0.71778756520995468</v>
      </c>
      <c r="G53" s="17">
        <f t="shared" si="3"/>
        <v>0.34718055842812823</v>
      </c>
    </row>
    <row r="54" spans="1:7" x14ac:dyDescent="0.25">
      <c r="A54" s="15" t="s">
        <v>20</v>
      </c>
      <c r="B54" s="16">
        <v>344465</v>
      </c>
      <c r="C54" s="16">
        <v>141383</v>
      </c>
      <c r="D54" s="16">
        <v>114918.52</v>
      </c>
      <c r="E54" s="16">
        <v>114918.52</v>
      </c>
      <c r="F54" s="17">
        <f t="shared" si="2"/>
        <v>0.81281709965130178</v>
      </c>
      <c r="G54" s="17">
        <f t="shared" si="3"/>
        <v>0.33361450365058859</v>
      </c>
    </row>
    <row r="55" spans="1:7" x14ac:dyDescent="0.25">
      <c r="A55" s="15" t="s">
        <v>23</v>
      </c>
      <c r="B55" s="16">
        <v>96000</v>
      </c>
      <c r="C55" s="16">
        <v>48000</v>
      </c>
      <c r="D55" s="16">
        <v>45420</v>
      </c>
      <c r="E55" s="16">
        <v>45420</v>
      </c>
      <c r="F55" s="17">
        <f t="shared" si="2"/>
        <v>0.94625000000000004</v>
      </c>
      <c r="G55" s="17">
        <f t="shared" si="3"/>
        <v>0.47312500000000002</v>
      </c>
    </row>
    <row r="56" spans="1:7" ht="29.25" customHeight="1" x14ac:dyDescent="0.25">
      <c r="A56" s="13" t="s">
        <v>144</v>
      </c>
      <c r="B56" s="14">
        <v>26369398</v>
      </c>
      <c r="C56" s="14">
        <v>13312828</v>
      </c>
      <c r="D56" s="14">
        <v>11512241.35</v>
      </c>
      <c r="E56" s="14">
        <v>11481669.57</v>
      </c>
      <c r="F56" s="34">
        <f t="shared" si="2"/>
        <v>0.86474799719488604</v>
      </c>
      <c r="G56" s="34">
        <f t="shared" si="3"/>
        <v>0.43657581223507641</v>
      </c>
    </row>
    <row r="57" spans="1:7" x14ac:dyDescent="0.25">
      <c r="A57" s="15" t="s">
        <v>14</v>
      </c>
      <c r="B57" s="16">
        <v>18861177</v>
      </c>
      <c r="C57" s="16">
        <v>9522782</v>
      </c>
      <c r="D57" s="16">
        <v>8882258.5500000007</v>
      </c>
      <c r="E57" s="16">
        <v>8882258.5500000007</v>
      </c>
      <c r="F57" s="17">
        <f t="shared" si="2"/>
        <v>0.93273778082917369</v>
      </c>
      <c r="G57" s="17">
        <f t="shared" si="3"/>
        <v>0.47092811599191298</v>
      </c>
    </row>
    <row r="58" spans="1:7" x14ac:dyDescent="0.25">
      <c r="A58" s="15" t="s">
        <v>15</v>
      </c>
      <c r="B58" s="16">
        <v>4142259</v>
      </c>
      <c r="C58" s="16">
        <v>2087813</v>
      </c>
      <c r="D58" s="16">
        <v>1754316.27</v>
      </c>
      <c r="E58" s="16">
        <v>1754316.27</v>
      </c>
      <c r="F58" s="17">
        <f t="shared" si="2"/>
        <v>0.84026503810446629</v>
      </c>
      <c r="G58" s="17">
        <f t="shared" si="3"/>
        <v>0.42351679844258894</v>
      </c>
    </row>
    <row r="59" spans="1:7" x14ac:dyDescent="0.25">
      <c r="A59" s="15" t="s">
        <v>16</v>
      </c>
      <c r="B59" s="16">
        <v>724965</v>
      </c>
      <c r="C59" s="16">
        <v>359015</v>
      </c>
      <c r="D59" s="16">
        <v>227610.63</v>
      </c>
      <c r="E59" s="16">
        <v>212623.61</v>
      </c>
      <c r="F59" s="17">
        <f t="shared" si="2"/>
        <v>0.6339864072531789</v>
      </c>
      <c r="G59" s="17">
        <f t="shared" si="3"/>
        <v>0.31396085328257228</v>
      </c>
    </row>
    <row r="60" spans="1:7" x14ac:dyDescent="0.25">
      <c r="A60" s="15" t="s">
        <v>17</v>
      </c>
      <c r="B60" s="16">
        <v>1684272</v>
      </c>
      <c r="C60" s="16">
        <v>842136</v>
      </c>
      <c r="D60" s="16">
        <v>323281.45</v>
      </c>
      <c r="E60" s="16">
        <v>307696.69</v>
      </c>
      <c r="F60" s="17">
        <f t="shared" si="2"/>
        <v>0.38388271015607933</v>
      </c>
      <c r="G60" s="17">
        <f t="shared" si="3"/>
        <v>0.19194135507803967</v>
      </c>
    </row>
    <row r="61" spans="1:7" x14ac:dyDescent="0.25">
      <c r="A61" s="15" t="s">
        <v>18</v>
      </c>
      <c r="B61" s="16">
        <v>402173</v>
      </c>
      <c r="C61" s="16">
        <v>244932</v>
      </c>
      <c r="D61" s="16">
        <v>141869.38</v>
      </c>
      <c r="E61" s="16">
        <v>141869.38</v>
      </c>
      <c r="F61" s="17">
        <f t="shared" si="2"/>
        <v>0.57921945682883413</v>
      </c>
      <c r="G61" s="17">
        <f t="shared" si="3"/>
        <v>0.35275709707016634</v>
      </c>
    </row>
    <row r="62" spans="1:7" x14ac:dyDescent="0.25">
      <c r="A62" s="15" t="s">
        <v>19</v>
      </c>
      <c r="B62" s="16">
        <v>29677</v>
      </c>
      <c r="C62" s="16">
        <v>15164</v>
      </c>
      <c r="D62" s="16">
        <v>12416.9</v>
      </c>
      <c r="E62" s="16">
        <v>12416.9</v>
      </c>
      <c r="F62" s="17">
        <f t="shared" si="2"/>
        <v>0.8188406752835663</v>
      </c>
      <c r="G62" s="17">
        <f t="shared" si="3"/>
        <v>0.41840145567274317</v>
      </c>
    </row>
    <row r="63" spans="1:7" x14ac:dyDescent="0.25">
      <c r="A63" s="15" t="s">
        <v>20</v>
      </c>
      <c r="B63" s="16">
        <v>509875</v>
      </c>
      <c r="C63" s="16">
        <v>226986</v>
      </c>
      <c r="D63" s="16">
        <v>166138.17000000001</v>
      </c>
      <c r="E63" s="16">
        <v>166138.17000000001</v>
      </c>
      <c r="F63" s="17">
        <f t="shared" si="2"/>
        <v>0.7319313525944332</v>
      </c>
      <c r="G63" s="17">
        <f t="shared" si="3"/>
        <v>0.32584098063250799</v>
      </c>
    </row>
    <row r="64" spans="1:7" ht="24" x14ac:dyDescent="0.25">
      <c r="A64" s="15" t="s">
        <v>21</v>
      </c>
      <c r="B64" s="16">
        <v>15000</v>
      </c>
      <c r="C64" s="16">
        <v>14000</v>
      </c>
      <c r="D64" s="16">
        <v>4350</v>
      </c>
      <c r="E64" s="16">
        <v>4350</v>
      </c>
      <c r="F64" s="17">
        <f t="shared" si="2"/>
        <v>0.31071428571428572</v>
      </c>
      <c r="G64" s="17">
        <f t="shared" si="3"/>
        <v>0.28999999999999998</v>
      </c>
    </row>
    <row r="65" spans="1:7" ht="24" x14ac:dyDescent="0.25">
      <c r="A65" s="13" t="s">
        <v>145</v>
      </c>
      <c r="B65" s="14">
        <v>9815482</v>
      </c>
      <c r="C65" s="14">
        <v>4960057</v>
      </c>
      <c r="D65" s="14">
        <v>4318064.3099999996</v>
      </c>
      <c r="E65" s="14">
        <v>4318064.3099999996</v>
      </c>
      <c r="F65" s="34">
        <f t="shared" si="2"/>
        <v>0.87056747734955453</v>
      </c>
      <c r="G65" s="34">
        <f t="shared" si="3"/>
        <v>0.43992381729190677</v>
      </c>
    </row>
    <row r="66" spans="1:7" x14ac:dyDescent="0.25">
      <c r="A66" s="15" t="s">
        <v>14</v>
      </c>
      <c r="B66" s="16">
        <v>7495606</v>
      </c>
      <c r="C66" s="16">
        <v>3778021</v>
      </c>
      <c r="D66" s="16">
        <v>3320001.9</v>
      </c>
      <c r="E66" s="16">
        <v>3320001.9</v>
      </c>
      <c r="F66" s="17">
        <f t="shared" si="2"/>
        <v>0.87876745523648492</v>
      </c>
      <c r="G66" s="17">
        <f t="shared" si="3"/>
        <v>0.44292641582281672</v>
      </c>
    </row>
    <row r="67" spans="1:7" x14ac:dyDescent="0.25">
      <c r="A67" s="15" t="s">
        <v>15</v>
      </c>
      <c r="B67" s="16">
        <v>1649033</v>
      </c>
      <c r="C67" s="16">
        <v>831165</v>
      </c>
      <c r="D67" s="16">
        <v>747658.72</v>
      </c>
      <c r="E67" s="16">
        <v>747658.72</v>
      </c>
      <c r="F67" s="17">
        <f t="shared" si="2"/>
        <v>0.89953104377590487</v>
      </c>
      <c r="G67" s="17">
        <f t="shared" si="3"/>
        <v>0.45339221228441151</v>
      </c>
    </row>
    <row r="68" spans="1:7" x14ac:dyDescent="0.25">
      <c r="A68" s="15" t="s">
        <v>16</v>
      </c>
      <c r="B68" s="16">
        <v>125000</v>
      </c>
      <c r="C68" s="16">
        <v>85000</v>
      </c>
      <c r="D68" s="16">
        <v>75840.399999999994</v>
      </c>
      <c r="E68" s="16">
        <v>75840.399999999994</v>
      </c>
      <c r="F68" s="17">
        <f t="shared" si="2"/>
        <v>0.89223999999999992</v>
      </c>
      <c r="G68" s="17">
        <f t="shared" si="3"/>
        <v>0.60672319999999991</v>
      </c>
    </row>
    <row r="69" spans="1:7" x14ac:dyDescent="0.25">
      <c r="A69" s="15" t="s">
        <v>17</v>
      </c>
      <c r="B69" s="16">
        <v>330700</v>
      </c>
      <c r="C69" s="16">
        <v>152850</v>
      </c>
      <c r="D69" s="16">
        <v>97283.68</v>
      </c>
      <c r="E69" s="16">
        <v>97283.68</v>
      </c>
      <c r="F69" s="17">
        <f t="shared" si="2"/>
        <v>0.63646503107621843</v>
      </c>
      <c r="G69" s="17">
        <f t="shared" si="3"/>
        <v>0.2941750226791654</v>
      </c>
    </row>
    <row r="70" spans="1:7" x14ac:dyDescent="0.25">
      <c r="A70" s="15" t="s">
        <v>18</v>
      </c>
      <c r="B70" s="16">
        <v>62568</v>
      </c>
      <c r="C70" s="16">
        <v>38244</v>
      </c>
      <c r="D70" s="16">
        <v>30607.74</v>
      </c>
      <c r="E70" s="16">
        <v>30607.74</v>
      </c>
      <c r="F70" s="17">
        <f t="shared" si="2"/>
        <v>0.80032789457169762</v>
      </c>
      <c r="G70" s="17">
        <f t="shared" si="3"/>
        <v>0.48919159953970082</v>
      </c>
    </row>
    <row r="71" spans="1:7" x14ac:dyDescent="0.25">
      <c r="A71" s="15" t="s">
        <v>19</v>
      </c>
      <c r="B71" s="16">
        <v>16615</v>
      </c>
      <c r="C71" s="16">
        <v>6797</v>
      </c>
      <c r="D71" s="16">
        <v>5841.55</v>
      </c>
      <c r="E71" s="16">
        <v>5841.55</v>
      </c>
      <c r="F71" s="17">
        <f t="shared" si="2"/>
        <v>0.85943063116080631</v>
      </c>
      <c r="G71" s="17">
        <f t="shared" si="3"/>
        <v>0.35158290701173639</v>
      </c>
    </row>
    <row r="72" spans="1:7" x14ac:dyDescent="0.25">
      <c r="A72" s="15" t="s">
        <v>20</v>
      </c>
      <c r="B72" s="16">
        <v>135960</v>
      </c>
      <c r="C72" s="16">
        <v>67980</v>
      </c>
      <c r="D72" s="16">
        <v>40830.32</v>
      </c>
      <c r="E72" s="16">
        <v>40830.32</v>
      </c>
      <c r="F72" s="17">
        <f t="shared" ref="F72:F135" si="4">D72/C72</f>
        <v>0.60062253604001181</v>
      </c>
      <c r="G72" s="17">
        <f t="shared" ref="G72:G135" si="5">D72/B72</f>
        <v>0.30031126802000591</v>
      </c>
    </row>
    <row r="73" spans="1:7" ht="24" x14ac:dyDescent="0.25">
      <c r="A73" s="13" t="s">
        <v>146</v>
      </c>
      <c r="B73" s="14">
        <v>15092775</v>
      </c>
      <c r="C73" s="14">
        <v>7623863</v>
      </c>
      <c r="D73" s="14">
        <v>6300199.3799999999</v>
      </c>
      <c r="E73" s="14">
        <v>6300199.3799999999</v>
      </c>
      <c r="F73" s="34">
        <f t="shared" si="4"/>
        <v>0.82637888167717599</v>
      </c>
      <c r="G73" s="34">
        <f t="shared" si="5"/>
        <v>0.41743147830667321</v>
      </c>
    </row>
    <row r="74" spans="1:7" x14ac:dyDescent="0.25">
      <c r="A74" s="15" t="s">
        <v>14</v>
      </c>
      <c r="B74" s="16">
        <v>12358012</v>
      </c>
      <c r="C74" s="16">
        <v>6249068</v>
      </c>
      <c r="D74" s="16">
        <v>5175827.12</v>
      </c>
      <c r="E74" s="16">
        <v>5175827.12</v>
      </c>
      <c r="F74" s="17">
        <f t="shared" si="4"/>
        <v>0.82825584871215996</v>
      </c>
      <c r="G74" s="17">
        <f t="shared" si="5"/>
        <v>0.41882360366699756</v>
      </c>
    </row>
    <row r="75" spans="1:7" x14ac:dyDescent="0.25">
      <c r="A75" s="15" t="s">
        <v>15</v>
      </c>
      <c r="B75" s="16">
        <v>2718763</v>
      </c>
      <c r="C75" s="16">
        <v>1374795</v>
      </c>
      <c r="D75" s="16">
        <v>1124372.26</v>
      </c>
      <c r="E75" s="16">
        <v>1124372.26</v>
      </c>
      <c r="F75" s="17">
        <f t="shared" si="4"/>
        <v>0.8178472135845708</v>
      </c>
      <c r="G75" s="17">
        <f t="shared" si="5"/>
        <v>0.41356023309129925</v>
      </c>
    </row>
    <row r="76" spans="1:7" x14ac:dyDescent="0.25">
      <c r="A76" s="15" t="s">
        <v>16</v>
      </c>
      <c r="B76" s="16">
        <v>16000</v>
      </c>
      <c r="C76" s="18"/>
      <c r="D76" s="18"/>
      <c r="E76" s="18"/>
      <c r="F76" s="17">
        <v>0</v>
      </c>
      <c r="G76" s="17">
        <f t="shared" si="5"/>
        <v>0</v>
      </c>
    </row>
    <row r="77" spans="1:7" ht="24" x14ac:dyDescent="0.25">
      <c r="A77" s="13" t="s">
        <v>147</v>
      </c>
      <c r="B77" s="14">
        <v>8545258</v>
      </c>
      <c r="C77" s="14">
        <v>4379438</v>
      </c>
      <c r="D77" s="14">
        <v>4268477.84</v>
      </c>
      <c r="E77" s="14">
        <v>4268477.84</v>
      </c>
      <c r="F77" s="34">
        <f t="shared" si="4"/>
        <v>0.97466337918244306</v>
      </c>
      <c r="G77" s="34">
        <f t="shared" si="5"/>
        <v>0.49951421478438685</v>
      </c>
    </row>
    <row r="78" spans="1:7" x14ac:dyDescent="0.25">
      <c r="A78" s="15" t="s">
        <v>14</v>
      </c>
      <c r="B78" s="16">
        <v>6619134</v>
      </c>
      <c r="C78" s="16">
        <v>3386343</v>
      </c>
      <c r="D78" s="16">
        <v>3326306.23</v>
      </c>
      <c r="E78" s="16">
        <v>3326306.23</v>
      </c>
      <c r="F78" s="17">
        <f t="shared" si="4"/>
        <v>0.98227091289925439</v>
      </c>
      <c r="G78" s="17">
        <f t="shared" si="5"/>
        <v>0.50252891541401035</v>
      </c>
    </row>
    <row r="79" spans="1:7" x14ac:dyDescent="0.25">
      <c r="A79" s="15" t="s">
        <v>15</v>
      </c>
      <c r="B79" s="16">
        <v>1463410</v>
      </c>
      <c r="C79" s="16">
        <v>752195</v>
      </c>
      <c r="D79" s="16">
        <v>738991.96</v>
      </c>
      <c r="E79" s="16">
        <v>738991.96</v>
      </c>
      <c r="F79" s="17">
        <f t="shared" si="4"/>
        <v>0.982447317517399</v>
      </c>
      <c r="G79" s="17">
        <f t="shared" si="5"/>
        <v>0.50497943843488835</v>
      </c>
    </row>
    <row r="80" spans="1:7" x14ac:dyDescent="0.25">
      <c r="A80" s="15" t="s">
        <v>16</v>
      </c>
      <c r="B80" s="16">
        <v>144600</v>
      </c>
      <c r="C80" s="16">
        <v>86000</v>
      </c>
      <c r="D80" s="16">
        <v>85964.6</v>
      </c>
      <c r="E80" s="16">
        <v>85964.6</v>
      </c>
      <c r="F80" s="17">
        <f t="shared" si="4"/>
        <v>0.99958837209302331</v>
      </c>
      <c r="G80" s="17">
        <f t="shared" si="5"/>
        <v>0.59449930843706777</v>
      </c>
    </row>
    <row r="81" spans="1:7" x14ac:dyDescent="0.25">
      <c r="A81" s="15" t="s">
        <v>17</v>
      </c>
      <c r="B81" s="16">
        <v>165200</v>
      </c>
      <c r="C81" s="16">
        <v>73000</v>
      </c>
      <c r="D81" s="16">
        <v>61706.05</v>
      </c>
      <c r="E81" s="16">
        <v>61706.05</v>
      </c>
      <c r="F81" s="17">
        <f t="shared" si="4"/>
        <v>0.84528835616438358</v>
      </c>
      <c r="G81" s="17">
        <f t="shared" si="5"/>
        <v>0.37352330508474579</v>
      </c>
    </row>
    <row r="82" spans="1:7" x14ac:dyDescent="0.25">
      <c r="A82" s="15" t="s">
        <v>18</v>
      </c>
      <c r="B82" s="16">
        <v>49895</v>
      </c>
      <c r="C82" s="16">
        <v>28900</v>
      </c>
      <c r="D82" s="16">
        <v>23283.5</v>
      </c>
      <c r="E82" s="16">
        <v>23283.5</v>
      </c>
      <c r="F82" s="17">
        <f t="shared" si="4"/>
        <v>0.80565743944636681</v>
      </c>
      <c r="G82" s="17">
        <f t="shared" si="5"/>
        <v>0.46664996492634531</v>
      </c>
    </row>
    <row r="83" spans="1:7" x14ac:dyDescent="0.25">
      <c r="A83" s="15" t="s">
        <v>19</v>
      </c>
      <c r="B83" s="16">
        <v>20957</v>
      </c>
      <c r="C83" s="16">
        <v>8700</v>
      </c>
      <c r="D83" s="16">
        <v>5456.82</v>
      </c>
      <c r="E83" s="16">
        <v>5456.82</v>
      </c>
      <c r="F83" s="17">
        <f t="shared" si="4"/>
        <v>0.62722068965517241</v>
      </c>
      <c r="G83" s="17">
        <f t="shared" si="5"/>
        <v>0.2603817340268168</v>
      </c>
    </row>
    <row r="84" spans="1:7" x14ac:dyDescent="0.25">
      <c r="A84" s="15" t="s">
        <v>20</v>
      </c>
      <c r="B84" s="16">
        <v>75262</v>
      </c>
      <c r="C84" s="16">
        <v>37500</v>
      </c>
      <c r="D84" s="16">
        <v>22868.68</v>
      </c>
      <c r="E84" s="16">
        <v>22868.68</v>
      </c>
      <c r="F84" s="17">
        <f t="shared" si="4"/>
        <v>0.60983146666666666</v>
      </c>
      <c r="G84" s="17">
        <f t="shared" si="5"/>
        <v>0.3038542690866573</v>
      </c>
    </row>
    <row r="85" spans="1:7" ht="24" x14ac:dyDescent="0.25">
      <c r="A85" s="15" t="s">
        <v>21</v>
      </c>
      <c r="B85" s="16">
        <v>6800</v>
      </c>
      <c r="C85" s="16">
        <v>6800</v>
      </c>
      <c r="D85" s="16">
        <v>3900</v>
      </c>
      <c r="E85" s="16">
        <v>3900</v>
      </c>
      <c r="F85" s="17">
        <f t="shared" si="4"/>
        <v>0.57352941176470584</v>
      </c>
      <c r="G85" s="17">
        <f t="shared" si="5"/>
        <v>0.57352941176470584</v>
      </c>
    </row>
    <row r="86" spans="1:7" x14ac:dyDescent="0.25">
      <c r="A86" s="35" t="s">
        <v>33</v>
      </c>
      <c r="B86" s="36">
        <f>B87+B132+B191+B205+B228+B265+B269+B276+B313+B332+B343+B346+B365+B372+B391+B394</f>
        <v>2916527318</v>
      </c>
      <c r="C86" s="36">
        <f t="shared" ref="C86:E86" si="6">C87+C132+C191+C205+C228+C265+C269+C276+C313+C332+C343+C346+C365+C372+C391+C394</f>
        <v>1795911546</v>
      </c>
      <c r="D86" s="36">
        <f t="shared" si="6"/>
        <v>1640687340.3700001</v>
      </c>
      <c r="E86" s="36">
        <f t="shared" si="6"/>
        <v>1633228543.51</v>
      </c>
      <c r="F86" s="9">
        <f>D86/C86</f>
        <v>0.91356801175663249</v>
      </c>
      <c r="G86" s="9">
        <f>D86/B86</f>
        <v>0.56254825053210766</v>
      </c>
    </row>
    <row r="87" spans="1:7" x14ac:dyDescent="0.25">
      <c r="A87" s="10" t="s">
        <v>148</v>
      </c>
      <c r="B87" s="11">
        <v>1026316045</v>
      </c>
      <c r="C87" s="11">
        <f>C88+C98+C109+C120</f>
        <v>519808171</v>
      </c>
      <c r="D87" s="11">
        <v>481551879.44999999</v>
      </c>
      <c r="E87" s="11">
        <v>481551879.44999999</v>
      </c>
      <c r="F87" s="12">
        <f t="shared" si="4"/>
        <v>0.92640305850444205</v>
      </c>
      <c r="G87" s="12">
        <f t="shared" si="5"/>
        <v>0.46920427854170399</v>
      </c>
    </row>
    <row r="88" spans="1:7" x14ac:dyDescent="0.25">
      <c r="A88" s="13" t="s">
        <v>149</v>
      </c>
      <c r="B88" s="14">
        <v>12761689</v>
      </c>
      <c r="C88" s="14">
        <v>6994478</v>
      </c>
      <c r="D88" s="14">
        <v>6584204.8700000001</v>
      </c>
      <c r="E88" s="14">
        <v>6584204.8700000001</v>
      </c>
      <c r="F88" s="34">
        <f t="shared" si="4"/>
        <v>0.94134328108545051</v>
      </c>
      <c r="G88" s="34">
        <f t="shared" si="5"/>
        <v>0.51593522377798107</v>
      </c>
    </row>
    <row r="89" spans="1:7" x14ac:dyDescent="0.25">
      <c r="A89" s="15" t="s">
        <v>14</v>
      </c>
      <c r="B89" s="16">
        <v>8971820</v>
      </c>
      <c r="C89" s="16">
        <v>4618000</v>
      </c>
      <c r="D89" s="16">
        <v>4363717.88</v>
      </c>
      <c r="E89" s="16">
        <v>4363717.88</v>
      </c>
      <c r="F89" s="17">
        <f t="shared" si="4"/>
        <v>0.94493674317886533</v>
      </c>
      <c r="G89" s="17">
        <f t="shared" si="5"/>
        <v>0.48638045346429154</v>
      </c>
    </row>
    <row r="90" spans="1:7" x14ac:dyDescent="0.25">
      <c r="A90" s="15" t="s">
        <v>15</v>
      </c>
      <c r="B90" s="16">
        <v>1973800</v>
      </c>
      <c r="C90" s="16">
        <v>1015960</v>
      </c>
      <c r="D90" s="16">
        <v>953400.19</v>
      </c>
      <c r="E90" s="16">
        <v>953400.19</v>
      </c>
      <c r="F90" s="17">
        <f t="shared" si="4"/>
        <v>0.93842295956533717</v>
      </c>
      <c r="G90" s="17">
        <f t="shared" si="5"/>
        <v>0.48302775863815989</v>
      </c>
    </row>
    <row r="91" spans="1:7" x14ac:dyDescent="0.25">
      <c r="A91" s="15" t="s">
        <v>16</v>
      </c>
      <c r="B91" s="16">
        <v>152430</v>
      </c>
      <c r="C91" s="16">
        <v>152430</v>
      </c>
      <c r="D91" s="16">
        <v>150000</v>
      </c>
      <c r="E91" s="16">
        <v>150000</v>
      </c>
      <c r="F91" s="17">
        <f t="shared" si="4"/>
        <v>0.98405825624876997</v>
      </c>
      <c r="G91" s="17">
        <f t="shared" si="5"/>
        <v>0.98405825624876997</v>
      </c>
    </row>
    <row r="92" spans="1:7" x14ac:dyDescent="0.25">
      <c r="A92" s="15" t="s">
        <v>17</v>
      </c>
      <c r="B92" s="16">
        <v>180039</v>
      </c>
      <c r="C92" s="16">
        <v>90039</v>
      </c>
      <c r="D92" s="16">
        <v>80346.59</v>
      </c>
      <c r="E92" s="16">
        <v>80346.59</v>
      </c>
      <c r="F92" s="17">
        <f t="shared" si="4"/>
        <v>0.89235320250113837</v>
      </c>
      <c r="G92" s="17">
        <f t="shared" si="5"/>
        <v>0.44627325190653133</v>
      </c>
    </row>
    <row r="93" spans="1:7" x14ac:dyDescent="0.25">
      <c r="A93" s="15" t="s">
        <v>18</v>
      </c>
      <c r="B93" s="16">
        <v>733679</v>
      </c>
      <c r="C93" s="16">
        <v>733679</v>
      </c>
      <c r="D93" s="16">
        <v>733679</v>
      </c>
      <c r="E93" s="16">
        <v>733679</v>
      </c>
      <c r="F93" s="17">
        <f t="shared" si="4"/>
        <v>1</v>
      </c>
      <c r="G93" s="17">
        <f t="shared" si="5"/>
        <v>1</v>
      </c>
    </row>
    <row r="94" spans="1:7" x14ac:dyDescent="0.25">
      <c r="A94" s="15" t="s">
        <v>19</v>
      </c>
      <c r="B94" s="16">
        <v>94775</v>
      </c>
      <c r="C94" s="16">
        <v>52294</v>
      </c>
      <c r="D94" s="16">
        <v>45470.2</v>
      </c>
      <c r="E94" s="16">
        <v>45470.2</v>
      </c>
      <c r="F94" s="17">
        <f t="shared" si="4"/>
        <v>0.86951084254407762</v>
      </c>
      <c r="G94" s="17">
        <f t="shared" si="5"/>
        <v>0.47976998153521494</v>
      </c>
    </row>
    <row r="95" spans="1:7" x14ac:dyDescent="0.25">
      <c r="A95" s="15" t="s">
        <v>20</v>
      </c>
      <c r="B95" s="16">
        <v>620000</v>
      </c>
      <c r="C95" s="16">
        <v>311000</v>
      </c>
      <c r="D95" s="16">
        <v>236930.14</v>
      </c>
      <c r="E95" s="16">
        <v>236930.14</v>
      </c>
      <c r="F95" s="17">
        <f t="shared" si="4"/>
        <v>0.76183324758842452</v>
      </c>
      <c r="G95" s="17">
        <f t="shared" si="5"/>
        <v>0.3821453870967742</v>
      </c>
    </row>
    <row r="96" spans="1:7" x14ac:dyDescent="0.25">
      <c r="A96" s="15" t="s">
        <v>32</v>
      </c>
      <c r="B96" s="16">
        <v>28146</v>
      </c>
      <c r="C96" s="16">
        <v>14076</v>
      </c>
      <c r="D96" s="16">
        <v>13660.87</v>
      </c>
      <c r="E96" s="16">
        <v>13660.87</v>
      </c>
      <c r="F96" s="17">
        <f t="shared" si="4"/>
        <v>0.97050795680591084</v>
      </c>
      <c r="G96" s="17">
        <f t="shared" si="5"/>
        <v>0.48535742201378529</v>
      </c>
    </row>
    <row r="97" spans="1:7" ht="24" x14ac:dyDescent="0.25">
      <c r="A97" s="15" t="s">
        <v>21</v>
      </c>
      <c r="B97" s="16">
        <v>7000</v>
      </c>
      <c r="C97" s="16">
        <v>7000</v>
      </c>
      <c r="D97" s="16">
        <v>7000</v>
      </c>
      <c r="E97" s="16">
        <v>7000</v>
      </c>
      <c r="F97" s="17">
        <f t="shared" si="4"/>
        <v>1</v>
      </c>
      <c r="G97" s="17">
        <f t="shared" si="5"/>
        <v>1</v>
      </c>
    </row>
    <row r="98" spans="1:7" x14ac:dyDescent="0.25">
      <c r="A98" s="13" t="s">
        <v>150</v>
      </c>
      <c r="B98" s="14">
        <v>14647974</v>
      </c>
      <c r="C98" s="14">
        <v>8385208</v>
      </c>
      <c r="D98" s="14">
        <v>8191714.71</v>
      </c>
      <c r="E98" s="14">
        <v>8191714.71</v>
      </c>
      <c r="F98" s="34">
        <f t="shared" si="4"/>
        <v>0.97692444957835278</v>
      </c>
      <c r="G98" s="34">
        <f t="shared" si="5"/>
        <v>0.55923875274491885</v>
      </c>
    </row>
    <row r="99" spans="1:7" x14ac:dyDescent="0.25">
      <c r="A99" s="15" t="s">
        <v>14</v>
      </c>
      <c r="B99" s="16">
        <v>10387298</v>
      </c>
      <c r="C99" s="16">
        <v>5773550</v>
      </c>
      <c r="D99" s="16">
        <v>5773507.9900000002</v>
      </c>
      <c r="E99" s="16">
        <v>5773507.9900000002</v>
      </c>
      <c r="F99" s="17">
        <f t="shared" si="4"/>
        <v>0.99999272371417935</v>
      </c>
      <c r="G99" s="17">
        <f t="shared" si="5"/>
        <v>0.55582385236276077</v>
      </c>
    </row>
    <row r="100" spans="1:7" x14ac:dyDescent="0.25">
      <c r="A100" s="15" t="s">
        <v>15</v>
      </c>
      <c r="B100" s="16">
        <v>2285205</v>
      </c>
      <c r="C100" s="16">
        <v>1270181</v>
      </c>
      <c r="D100" s="16">
        <v>1270181</v>
      </c>
      <c r="E100" s="16">
        <v>1270181</v>
      </c>
      <c r="F100" s="17">
        <f t="shared" si="4"/>
        <v>1</v>
      </c>
      <c r="G100" s="17">
        <f t="shared" si="5"/>
        <v>0.55582803293358807</v>
      </c>
    </row>
    <row r="101" spans="1:7" x14ac:dyDescent="0.25">
      <c r="A101" s="15" t="s">
        <v>16</v>
      </c>
      <c r="B101" s="16">
        <v>95228</v>
      </c>
      <c r="C101" s="16">
        <v>95228</v>
      </c>
      <c r="D101" s="16">
        <v>63194.04</v>
      </c>
      <c r="E101" s="16">
        <v>63194.04</v>
      </c>
      <c r="F101" s="17">
        <f t="shared" si="4"/>
        <v>0.66360776242281683</v>
      </c>
      <c r="G101" s="17">
        <f t="shared" si="5"/>
        <v>0.66360776242281683</v>
      </c>
    </row>
    <row r="102" spans="1:7" x14ac:dyDescent="0.25">
      <c r="A102" s="15" t="s">
        <v>36</v>
      </c>
      <c r="B102" s="16">
        <v>10228</v>
      </c>
      <c r="C102" s="16">
        <v>10228</v>
      </c>
      <c r="D102" s="18"/>
      <c r="E102" s="18"/>
      <c r="F102" s="17">
        <f t="shared" si="4"/>
        <v>0</v>
      </c>
      <c r="G102" s="17">
        <f t="shared" si="5"/>
        <v>0</v>
      </c>
    </row>
    <row r="103" spans="1:7" x14ac:dyDescent="0.25">
      <c r="A103" s="15" t="s">
        <v>17</v>
      </c>
      <c r="B103" s="16">
        <v>424414</v>
      </c>
      <c r="C103" s="16">
        <v>354322</v>
      </c>
      <c r="D103" s="16">
        <v>211874</v>
      </c>
      <c r="E103" s="16">
        <v>211874</v>
      </c>
      <c r="F103" s="17">
        <f t="shared" si="4"/>
        <v>0.59797020788999833</v>
      </c>
      <c r="G103" s="17">
        <f t="shared" si="5"/>
        <v>0.49921538874777927</v>
      </c>
    </row>
    <row r="104" spans="1:7" x14ac:dyDescent="0.25">
      <c r="A104" s="15" t="s">
        <v>18</v>
      </c>
      <c r="B104" s="16">
        <v>745828</v>
      </c>
      <c r="C104" s="16">
        <v>528051</v>
      </c>
      <c r="D104" s="16">
        <v>526003.78</v>
      </c>
      <c r="E104" s="16">
        <v>526003.78</v>
      </c>
      <c r="F104" s="17">
        <f t="shared" si="4"/>
        <v>0.99612306387072469</v>
      </c>
      <c r="G104" s="17">
        <f t="shared" si="5"/>
        <v>0.70526150801525289</v>
      </c>
    </row>
    <row r="105" spans="1:7" x14ac:dyDescent="0.25">
      <c r="A105" s="15" t="s">
        <v>19</v>
      </c>
      <c r="B105" s="16">
        <v>147942</v>
      </c>
      <c r="C105" s="16">
        <v>74486</v>
      </c>
      <c r="D105" s="16">
        <v>74477.009999999995</v>
      </c>
      <c r="E105" s="16">
        <v>74477.009999999995</v>
      </c>
      <c r="F105" s="17">
        <f t="shared" si="4"/>
        <v>0.9998793061783422</v>
      </c>
      <c r="G105" s="17">
        <f t="shared" si="5"/>
        <v>0.50342032688486027</v>
      </c>
    </row>
    <row r="106" spans="1:7" x14ac:dyDescent="0.25">
      <c r="A106" s="15" t="s">
        <v>20</v>
      </c>
      <c r="B106" s="16">
        <v>524500</v>
      </c>
      <c r="C106" s="16">
        <v>264000</v>
      </c>
      <c r="D106" s="16">
        <v>260322.31</v>
      </c>
      <c r="E106" s="16">
        <v>260322.31</v>
      </c>
      <c r="F106" s="17">
        <f t="shared" si="4"/>
        <v>0.98606935606060608</v>
      </c>
      <c r="G106" s="17">
        <f t="shared" si="5"/>
        <v>0.49632470924690181</v>
      </c>
    </row>
    <row r="107" spans="1:7" x14ac:dyDescent="0.25">
      <c r="A107" s="15" t="s">
        <v>32</v>
      </c>
      <c r="B107" s="16">
        <v>24331</v>
      </c>
      <c r="C107" s="16">
        <v>12162</v>
      </c>
      <c r="D107" s="16">
        <v>12154.58</v>
      </c>
      <c r="E107" s="16">
        <v>12154.58</v>
      </c>
      <c r="F107" s="17">
        <f t="shared" si="4"/>
        <v>0.99938990297648411</v>
      </c>
      <c r="G107" s="17">
        <f t="shared" si="5"/>
        <v>0.49955118984012165</v>
      </c>
    </row>
    <row r="108" spans="1:7" ht="24" x14ac:dyDescent="0.25">
      <c r="A108" s="15" t="s">
        <v>21</v>
      </c>
      <c r="B108" s="16">
        <v>3000</v>
      </c>
      <c r="C108" s="16">
        <v>3000</v>
      </c>
      <c r="D108" s="18"/>
      <c r="E108" s="18"/>
      <c r="F108" s="17">
        <f t="shared" si="4"/>
        <v>0</v>
      </c>
      <c r="G108" s="17">
        <f t="shared" si="5"/>
        <v>0</v>
      </c>
    </row>
    <row r="109" spans="1:7" ht="24" x14ac:dyDescent="0.25">
      <c r="A109" s="13" t="s">
        <v>151</v>
      </c>
      <c r="B109" s="14">
        <v>10226421</v>
      </c>
      <c r="C109" s="14">
        <v>4925379</v>
      </c>
      <c r="D109" s="14">
        <v>4181292.17</v>
      </c>
      <c r="E109" s="14">
        <v>4181292.17</v>
      </c>
      <c r="F109" s="34">
        <f t="shared" si="4"/>
        <v>0.84892800533725421</v>
      </c>
      <c r="G109" s="34">
        <f t="shared" si="5"/>
        <v>0.40887150744136191</v>
      </c>
    </row>
    <row r="110" spans="1:7" x14ac:dyDescent="0.25">
      <c r="A110" s="15" t="s">
        <v>14</v>
      </c>
      <c r="B110" s="16">
        <v>7620180</v>
      </c>
      <c r="C110" s="16">
        <v>3593947</v>
      </c>
      <c r="D110" s="16">
        <v>3194000.19</v>
      </c>
      <c r="E110" s="16">
        <v>3194000.19</v>
      </c>
      <c r="F110" s="17">
        <f t="shared" si="4"/>
        <v>0.8887165531378175</v>
      </c>
      <c r="G110" s="17">
        <f t="shared" si="5"/>
        <v>0.41915022873475427</v>
      </c>
    </row>
    <row r="111" spans="1:7" x14ac:dyDescent="0.25">
      <c r="A111" s="15" t="s">
        <v>15</v>
      </c>
      <c r="B111" s="16">
        <v>1676438</v>
      </c>
      <c r="C111" s="16">
        <v>790667</v>
      </c>
      <c r="D111" s="16">
        <v>676160.57</v>
      </c>
      <c r="E111" s="16">
        <v>676160.57</v>
      </c>
      <c r="F111" s="17">
        <f t="shared" si="4"/>
        <v>0.85517742614779668</v>
      </c>
      <c r="G111" s="17">
        <f t="shared" si="5"/>
        <v>0.40333168897388388</v>
      </c>
    </row>
    <row r="112" spans="1:7" x14ac:dyDescent="0.25">
      <c r="A112" s="15" t="s">
        <v>16</v>
      </c>
      <c r="B112" s="16">
        <v>63995</v>
      </c>
      <c r="C112" s="16">
        <v>63995</v>
      </c>
      <c r="D112" s="16">
        <v>20405.060000000001</v>
      </c>
      <c r="E112" s="16">
        <v>20405.060000000001</v>
      </c>
      <c r="F112" s="17">
        <f t="shared" si="4"/>
        <v>0.31885397296663803</v>
      </c>
      <c r="G112" s="17">
        <f t="shared" si="5"/>
        <v>0.31885397296663803</v>
      </c>
    </row>
    <row r="113" spans="1:7" x14ac:dyDescent="0.25">
      <c r="A113" s="15" t="s">
        <v>36</v>
      </c>
      <c r="B113" s="16">
        <v>6873</v>
      </c>
      <c r="C113" s="16">
        <v>6873</v>
      </c>
      <c r="D113" s="18"/>
      <c r="E113" s="18"/>
      <c r="F113" s="17">
        <f t="shared" si="4"/>
        <v>0</v>
      </c>
      <c r="G113" s="17">
        <f t="shared" si="5"/>
        <v>0</v>
      </c>
    </row>
    <row r="114" spans="1:7" x14ac:dyDescent="0.25">
      <c r="A114" s="15" t="s">
        <v>17</v>
      </c>
      <c r="B114" s="16">
        <v>284233</v>
      </c>
      <c r="C114" s="16">
        <v>156642</v>
      </c>
      <c r="D114" s="16">
        <v>18765</v>
      </c>
      <c r="E114" s="16">
        <v>18765</v>
      </c>
      <c r="F114" s="17">
        <f t="shared" si="4"/>
        <v>0.11979545715708431</v>
      </c>
      <c r="G114" s="17">
        <f t="shared" si="5"/>
        <v>6.6019779547061744E-2</v>
      </c>
    </row>
    <row r="115" spans="1:7" x14ac:dyDescent="0.25">
      <c r="A115" s="15" t="s">
        <v>18</v>
      </c>
      <c r="B115" s="16">
        <v>166001</v>
      </c>
      <c r="C115" s="16">
        <v>93616</v>
      </c>
      <c r="D115" s="16">
        <v>93602.19</v>
      </c>
      <c r="E115" s="16">
        <v>93602.19</v>
      </c>
      <c r="F115" s="17">
        <f t="shared" si="4"/>
        <v>0.99985248248162706</v>
      </c>
      <c r="G115" s="17">
        <f t="shared" si="5"/>
        <v>0.56386521767941156</v>
      </c>
    </row>
    <row r="116" spans="1:7" x14ac:dyDescent="0.25">
      <c r="A116" s="15" t="s">
        <v>19</v>
      </c>
      <c r="B116" s="16">
        <v>41858</v>
      </c>
      <c r="C116" s="16">
        <v>21139</v>
      </c>
      <c r="D116" s="18"/>
      <c r="E116" s="18"/>
      <c r="F116" s="17">
        <f t="shared" si="4"/>
        <v>0</v>
      </c>
      <c r="G116" s="17">
        <f t="shared" si="5"/>
        <v>0</v>
      </c>
    </row>
    <row r="117" spans="1:7" x14ac:dyDescent="0.25">
      <c r="A117" s="15" t="s">
        <v>20</v>
      </c>
      <c r="B117" s="16">
        <v>345448</v>
      </c>
      <c r="C117" s="16">
        <v>186498</v>
      </c>
      <c r="D117" s="16">
        <v>174794.36</v>
      </c>
      <c r="E117" s="16">
        <v>174794.36</v>
      </c>
      <c r="F117" s="17">
        <f t="shared" si="4"/>
        <v>0.93724522514986752</v>
      </c>
      <c r="G117" s="17">
        <f t="shared" si="5"/>
        <v>0.50599326092494379</v>
      </c>
    </row>
    <row r="118" spans="1:7" x14ac:dyDescent="0.25">
      <c r="A118" s="15" t="s">
        <v>32</v>
      </c>
      <c r="B118" s="16">
        <v>18395</v>
      </c>
      <c r="C118" s="16">
        <v>9002</v>
      </c>
      <c r="D118" s="16">
        <v>3564.8</v>
      </c>
      <c r="E118" s="16">
        <v>3564.8</v>
      </c>
      <c r="F118" s="17">
        <f t="shared" si="4"/>
        <v>0.39600088869140193</v>
      </c>
      <c r="G118" s="17">
        <f t="shared" si="5"/>
        <v>0.19379179124762164</v>
      </c>
    </row>
    <row r="119" spans="1:7" ht="24" x14ac:dyDescent="0.25">
      <c r="A119" s="15" t="s">
        <v>21</v>
      </c>
      <c r="B119" s="16">
        <v>3000</v>
      </c>
      <c r="C119" s="16">
        <v>3000</v>
      </c>
      <c r="D119" s="18"/>
      <c r="E119" s="18"/>
      <c r="F119" s="17">
        <f t="shared" si="4"/>
        <v>0</v>
      </c>
      <c r="G119" s="17">
        <f t="shared" si="5"/>
        <v>0</v>
      </c>
    </row>
    <row r="120" spans="1:7" ht="24" x14ac:dyDescent="0.25">
      <c r="A120" s="13" t="s">
        <v>146</v>
      </c>
      <c r="B120" s="14">
        <v>988679961</v>
      </c>
      <c r="C120" s="14">
        <f>SUM(C121:C131)</f>
        <v>499503106</v>
      </c>
      <c r="D120" s="14">
        <f t="shared" ref="D120:E120" si="7">SUM(D121:D131)</f>
        <v>462594667.69999993</v>
      </c>
      <c r="E120" s="14">
        <f t="shared" si="7"/>
        <v>462594667.69999993</v>
      </c>
      <c r="F120" s="34">
        <f t="shared" si="4"/>
        <v>0.92610969209869121</v>
      </c>
      <c r="G120" s="34">
        <f t="shared" si="5"/>
        <v>0.4678912144958503</v>
      </c>
    </row>
    <row r="121" spans="1:7" x14ac:dyDescent="0.25">
      <c r="A121" s="15" t="s">
        <v>14</v>
      </c>
      <c r="B121" s="16">
        <v>658643434</v>
      </c>
      <c r="C121" s="16">
        <f>331219756-C110-C99-C89</f>
        <v>317234259</v>
      </c>
      <c r="D121" s="16">
        <v>316275294.55000001</v>
      </c>
      <c r="E121" s="16">
        <v>316275294.55000001</v>
      </c>
      <c r="F121" s="17">
        <f t="shared" si="4"/>
        <v>0.99697710943003803</v>
      </c>
      <c r="G121" s="17">
        <f t="shared" si="5"/>
        <v>0.48019197979281764</v>
      </c>
    </row>
    <row r="122" spans="1:7" x14ac:dyDescent="0.25">
      <c r="A122" s="15" t="s">
        <v>15</v>
      </c>
      <c r="B122" s="16">
        <v>144901555</v>
      </c>
      <c r="C122" s="16">
        <f>72705794-C111-C100-C90</f>
        <v>69628986</v>
      </c>
      <c r="D122" s="16">
        <v>68920251.939999998</v>
      </c>
      <c r="E122" s="16">
        <v>68920251.939999998</v>
      </c>
      <c r="F122" s="17">
        <f t="shared" si="4"/>
        <v>0.98982127845434942</v>
      </c>
      <c r="G122" s="17">
        <f t="shared" si="5"/>
        <v>0.47563500571129136</v>
      </c>
    </row>
    <row r="123" spans="1:7" x14ac:dyDescent="0.25">
      <c r="A123" s="15" t="s">
        <v>16</v>
      </c>
      <c r="B123" s="16">
        <v>6443347</v>
      </c>
      <c r="C123" s="16">
        <f>6755000-C112-C101-C91</f>
        <v>6443347</v>
      </c>
      <c r="D123" s="16">
        <v>1487913.64</v>
      </c>
      <c r="E123" s="16">
        <v>1487913.64</v>
      </c>
      <c r="F123" s="17">
        <f t="shared" si="4"/>
        <v>0.23092247553949832</v>
      </c>
      <c r="G123" s="17">
        <f t="shared" si="5"/>
        <v>0.23092247553949832</v>
      </c>
    </row>
    <row r="124" spans="1:7" x14ac:dyDescent="0.25">
      <c r="A124" s="15" t="s">
        <v>36</v>
      </c>
      <c r="B124" s="16">
        <v>660079</v>
      </c>
      <c r="C124" s="16">
        <f>677180-C113-C102</f>
        <v>660079</v>
      </c>
      <c r="D124" s="18"/>
      <c r="E124" s="18"/>
      <c r="F124" s="17">
        <f t="shared" si="4"/>
        <v>0</v>
      </c>
      <c r="G124" s="17">
        <f t="shared" si="5"/>
        <v>0</v>
      </c>
    </row>
    <row r="125" spans="1:7" x14ac:dyDescent="0.25">
      <c r="A125" s="15" t="s">
        <v>17</v>
      </c>
      <c r="B125" s="16">
        <v>83179720</v>
      </c>
      <c r="C125" s="16">
        <f>42980214-C114-C103-C92</f>
        <v>42379211</v>
      </c>
      <c r="D125" s="16">
        <v>17147772.010000002</v>
      </c>
      <c r="E125" s="16">
        <v>17147772.010000002</v>
      </c>
      <c r="F125" s="17">
        <f t="shared" si="4"/>
        <v>0.40462697642011319</v>
      </c>
      <c r="G125" s="17">
        <f t="shared" si="5"/>
        <v>0.2061532788280605</v>
      </c>
    </row>
    <row r="126" spans="1:7" x14ac:dyDescent="0.25">
      <c r="A126" s="15" t="s">
        <v>18</v>
      </c>
      <c r="B126" s="16">
        <v>60333200</v>
      </c>
      <c r="C126" s="16">
        <f>47130455-C115-C104-C93</f>
        <v>45775109</v>
      </c>
      <c r="D126" s="16">
        <v>45239220.659999996</v>
      </c>
      <c r="E126" s="16">
        <v>45239220.659999996</v>
      </c>
      <c r="F126" s="17">
        <f t="shared" si="4"/>
        <v>0.98829301881072518</v>
      </c>
      <c r="G126" s="17">
        <f t="shared" si="5"/>
        <v>0.7498229939734673</v>
      </c>
    </row>
    <row r="127" spans="1:7" x14ac:dyDescent="0.25">
      <c r="A127" s="15" t="s">
        <v>19</v>
      </c>
      <c r="B127" s="16">
        <v>7717904</v>
      </c>
      <c r="C127" s="16">
        <f>3862986-C116-C105-C94</f>
        <v>3715067</v>
      </c>
      <c r="D127" s="16">
        <v>3531385.21</v>
      </c>
      <c r="E127" s="16">
        <v>3531385.21</v>
      </c>
      <c r="F127" s="17">
        <f t="shared" si="4"/>
        <v>0.95055761040110442</v>
      </c>
      <c r="G127" s="17">
        <f t="shared" si="5"/>
        <v>0.45755754541647575</v>
      </c>
    </row>
    <row r="128" spans="1:7" x14ac:dyDescent="0.25">
      <c r="A128" s="15" t="s">
        <v>20</v>
      </c>
      <c r="B128" s="16">
        <v>24776908</v>
      </c>
      <c r="C128" s="16">
        <f>13216540-C117-C106-C95</f>
        <v>12455042</v>
      </c>
      <c r="D128" s="16">
        <v>9173719.9900000002</v>
      </c>
      <c r="E128" s="16">
        <v>9173719.9900000002</v>
      </c>
      <c r="F128" s="17">
        <f t="shared" si="4"/>
        <v>0.73654669249609916</v>
      </c>
      <c r="G128" s="17">
        <f t="shared" si="5"/>
        <v>0.37025281726032966</v>
      </c>
    </row>
    <row r="129" spans="1:7" x14ac:dyDescent="0.25">
      <c r="A129" s="15" t="s">
        <v>39</v>
      </c>
      <c r="B129" s="16">
        <v>306700</v>
      </c>
      <c r="C129" s="16">
        <v>161686</v>
      </c>
      <c r="D129" s="16">
        <v>97594.48</v>
      </c>
      <c r="E129" s="16">
        <v>97594.48</v>
      </c>
      <c r="F129" s="17">
        <f t="shared" si="4"/>
        <v>0.60360501218410989</v>
      </c>
      <c r="G129" s="17">
        <f t="shared" si="5"/>
        <v>0.31820828170850995</v>
      </c>
    </row>
    <row r="130" spans="1:7" x14ac:dyDescent="0.25">
      <c r="A130" s="15" t="s">
        <v>32</v>
      </c>
      <c r="B130" s="16">
        <v>1486114</v>
      </c>
      <c r="C130" s="16">
        <f>854560-C118-C107-C96</f>
        <v>819320</v>
      </c>
      <c r="D130" s="16">
        <v>583622.02</v>
      </c>
      <c r="E130" s="16">
        <v>583622.02</v>
      </c>
      <c r="F130" s="17">
        <f t="shared" si="4"/>
        <v>0.71232487916809062</v>
      </c>
      <c r="G130" s="17">
        <f t="shared" si="5"/>
        <v>0.39271685752237045</v>
      </c>
    </row>
    <row r="131" spans="1:7" ht="24" x14ac:dyDescent="0.25">
      <c r="A131" s="15" t="s">
        <v>21</v>
      </c>
      <c r="B131" s="16">
        <v>231000</v>
      </c>
      <c r="C131" s="16">
        <f>244000-C108-C119-C97</f>
        <v>231000</v>
      </c>
      <c r="D131" s="16">
        <v>137893.20000000001</v>
      </c>
      <c r="E131" s="16">
        <v>137893.20000000001</v>
      </c>
      <c r="F131" s="17">
        <f t="shared" si="4"/>
        <v>0.59694025974025977</v>
      </c>
      <c r="G131" s="17">
        <f t="shared" si="5"/>
        <v>0.59694025974025977</v>
      </c>
    </row>
    <row r="132" spans="1:7" ht="27" customHeight="1" x14ac:dyDescent="0.25">
      <c r="A132" s="10" t="s">
        <v>152</v>
      </c>
      <c r="B132" s="11">
        <v>914794439</v>
      </c>
      <c r="C132" s="11">
        <f>C133+C144+C155+C166+C178</f>
        <v>522515528</v>
      </c>
      <c r="D132" s="11">
        <f t="shared" ref="D132:E132" si="8">D133+D144+D155+D166+D178</f>
        <v>446863807.34999996</v>
      </c>
      <c r="E132" s="11">
        <f t="shared" si="8"/>
        <v>446813824.63</v>
      </c>
      <c r="F132" s="12">
        <f t="shared" si="4"/>
        <v>0.85521632067171782</v>
      </c>
      <c r="G132" s="12">
        <f t="shared" si="5"/>
        <v>0.48848548733908509</v>
      </c>
    </row>
    <row r="133" spans="1:7" x14ac:dyDescent="0.25">
      <c r="A133" s="13" t="s">
        <v>150</v>
      </c>
      <c r="B133" s="14">
        <v>52101651</v>
      </c>
      <c r="C133" s="14">
        <v>35459309</v>
      </c>
      <c r="D133" s="14">
        <v>33480229.239999998</v>
      </c>
      <c r="E133" s="14">
        <v>33480229.239999998</v>
      </c>
      <c r="F133" s="34">
        <f t="shared" si="4"/>
        <v>0.94418730043498589</v>
      </c>
      <c r="G133" s="34">
        <f t="shared" si="5"/>
        <v>0.64259440147107816</v>
      </c>
    </row>
    <row r="134" spans="1:7" x14ac:dyDescent="0.25">
      <c r="A134" s="15" t="s">
        <v>14</v>
      </c>
      <c r="B134" s="16">
        <v>29505805</v>
      </c>
      <c r="C134" s="16">
        <v>19159554</v>
      </c>
      <c r="D134" s="16">
        <v>19159529.57</v>
      </c>
      <c r="E134" s="16">
        <v>19159529.57</v>
      </c>
      <c r="F134" s="17">
        <f t="shared" si="4"/>
        <v>0.99999872491812702</v>
      </c>
      <c r="G134" s="17">
        <f t="shared" si="5"/>
        <v>0.64934780020406158</v>
      </c>
    </row>
    <row r="135" spans="1:7" x14ac:dyDescent="0.25">
      <c r="A135" s="15" t="s">
        <v>15</v>
      </c>
      <c r="B135" s="16">
        <v>6491275</v>
      </c>
      <c r="C135" s="16">
        <v>4237541</v>
      </c>
      <c r="D135" s="16">
        <v>4203857.04</v>
      </c>
      <c r="E135" s="16">
        <v>4203857.04</v>
      </c>
      <c r="F135" s="17">
        <f t="shared" si="4"/>
        <v>0.99205105980095531</v>
      </c>
      <c r="G135" s="17">
        <f t="shared" si="5"/>
        <v>0.64761653758314042</v>
      </c>
    </row>
    <row r="136" spans="1:7" x14ac:dyDescent="0.25">
      <c r="A136" s="15" t="s">
        <v>16</v>
      </c>
      <c r="B136" s="16">
        <v>2571145</v>
      </c>
      <c r="C136" s="16">
        <v>2571145</v>
      </c>
      <c r="D136" s="16">
        <v>1926581.75</v>
      </c>
      <c r="E136" s="16">
        <v>1926581.75</v>
      </c>
      <c r="F136" s="17">
        <f t="shared" ref="F136:F199" si="9">D136/C136</f>
        <v>0.74930886822796849</v>
      </c>
      <c r="G136" s="17">
        <f t="shared" ref="G136:G199" si="10">D136/B136</f>
        <v>0.74930886822796849</v>
      </c>
    </row>
    <row r="137" spans="1:7" x14ac:dyDescent="0.25">
      <c r="A137" s="15" t="s">
        <v>36</v>
      </c>
      <c r="B137" s="16">
        <v>32600</v>
      </c>
      <c r="C137" s="16">
        <v>32600</v>
      </c>
      <c r="D137" s="18"/>
      <c r="E137" s="18"/>
      <c r="F137" s="17">
        <f t="shared" si="9"/>
        <v>0</v>
      </c>
      <c r="G137" s="17">
        <f t="shared" si="10"/>
        <v>0</v>
      </c>
    </row>
    <row r="138" spans="1:7" x14ac:dyDescent="0.25">
      <c r="A138" s="15" t="s">
        <v>17</v>
      </c>
      <c r="B138" s="16">
        <v>4533435</v>
      </c>
      <c r="C138" s="16">
        <v>4053435</v>
      </c>
      <c r="D138" s="16">
        <v>3216684.23</v>
      </c>
      <c r="E138" s="16">
        <v>3216684.23</v>
      </c>
      <c r="F138" s="17">
        <f t="shared" si="9"/>
        <v>0.79356995486544124</v>
      </c>
      <c r="G138" s="17">
        <f t="shared" si="10"/>
        <v>0.70954678516400915</v>
      </c>
    </row>
    <row r="139" spans="1:7" x14ac:dyDescent="0.25">
      <c r="A139" s="15" t="s">
        <v>18</v>
      </c>
      <c r="B139" s="16">
        <v>6374702</v>
      </c>
      <c r="C139" s="16">
        <v>3582348</v>
      </c>
      <c r="D139" s="16">
        <v>3488978.6</v>
      </c>
      <c r="E139" s="16">
        <v>3488978.6</v>
      </c>
      <c r="F139" s="17">
        <f t="shared" si="9"/>
        <v>0.97393625633243897</v>
      </c>
      <c r="G139" s="17">
        <f t="shared" si="10"/>
        <v>0.54731634514052585</v>
      </c>
    </row>
    <row r="140" spans="1:7" x14ac:dyDescent="0.25">
      <c r="A140" s="15" t="s">
        <v>19</v>
      </c>
      <c r="B140" s="16">
        <v>352068</v>
      </c>
      <c r="C140" s="16">
        <v>236154</v>
      </c>
      <c r="D140" s="16">
        <v>232815.64</v>
      </c>
      <c r="E140" s="16">
        <v>232815.64</v>
      </c>
      <c r="F140" s="17">
        <f t="shared" si="9"/>
        <v>0.98586363135919786</v>
      </c>
      <c r="G140" s="17">
        <f t="shared" si="10"/>
        <v>0.66128032084710908</v>
      </c>
    </row>
    <row r="141" spans="1:7" x14ac:dyDescent="0.25">
      <c r="A141" s="15" t="s">
        <v>20</v>
      </c>
      <c r="B141" s="16">
        <v>2118855</v>
      </c>
      <c r="C141" s="16">
        <v>1524150</v>
      </c>
      <c r="D141" s="16">
        <v>1210228.8899999999</v>
      </c>
      <c r="E141" s="16">
        <v>1210228.8899999999</v>
      </c>
      <c r="F141" s="17">
        <f t="shared" si="9"/>
        <v>0.79403529180198795</v>
      </c>
      <c r="G141" s="17">
        <f t="shared" si="10"/>
        <v>0.57117117027828701</v>
      </c>
    </row>
    <row r="142" spans="1:7" x14ac:dyDescent="0.25">
      <c r="A142" s="15" t="s">
        <v>32</v>
      </c>
      <c r="B142" s="16">
        <v>118766</v>
      </c>
      <c r="C142" s="16">
        <v>59382</v>
      </c>
      <c r="D142" s="16">
        <v>41553.519999999997</v>
      </c>
      <c r="E142" s="16">
        <v>41553.519999999997</v>
      </c>
      <c r="F142" s="17">
        <f t="shared" si="9"/>
        <v>0.69976625913576496</v>
      </c>
      <c r="G142" s="17">
        <f t="shared" si="10"/>
        <v>0.34987723759325057</v>
      </c>
    </row>
    <row r="143" spans="1:7" ht="24" x14ac:dyDescent="0.25">
      <c r="A143" s="15" t="s">
        <v>21</v>
      </c>
      <c r="B143" s="16">
        <v>3000</v>
      </c>
      <c r="C143" s="16">
        <v>3000</v>
      </c>
      <c r="D143" s="18"/>
      <c r="E143" s="18"/>
      <c r="F143" s="17">
        <f t="shared" si="9"/>
        <v>0</v>
      </c>
      <c r="G143" s="17">
        <f t="shared" si="10"/>
        <v>0</v>
      </c>
    </row>
    <row r="144" spans="1:7" ht="24" x14ac:dyDescent="0.25">
      <c r="A144" s="13" t="s">
        <v>151</v>
      </c>
      <c r="B144" s="14">
        <v>25034359</v>
      </c>
      <c r="C144" s="14">
        <v>14236009</v>
      </c>
      <c r="D144" s="14">
        <v>11922019.119999999</v>
      </c>
      <c r="E144" s="14">
        <v>11872036.4</v>
      </c>
      <c r="F144" s="34">
        <f t="shared" si="9"/>
        <v>0.8374551547417538</v>
      </c>
      <c r="G144" s="34">
        <f t="shared" si="10"/>
        <v>0.4762262584793962</v>
      </c>
    </row>
    <row r="145" spans="1:7" x14ac:dyDescent="0.25">
      <c r="A145" s="15" t="s">
        <v>14</v>
      </c>
      <c r="B145" s="16">
        <v>15216718</v>
      </c>
      <c r="C145" s="16">
        <v>8664064</v>
      </c>
      <c r="D145" s="16">
        <v>8452603.8399999999</v>
      </c>
      <c r="E145" s="16">
        <v>8452603.8399999999</v>
      </c>
      <c r="F145" s="17">
        <f t="shared" si="9"/>
        <v>0.97559342128589999</v>
      </c>
      <c r="G145" s="17">
        <f t="shared" si="10"/>
        <v>0.55548140144280778</v>
      </c>
    </row>
    <row r="146" spans="1:7" x14ac:dyDescent="0.25">
      <c r="A146" s="15" t="s">
        <v>15</v>
      </c>
      <c r="B146" s="16">
        <v>3347678</v>
      </c>
      <c r="C146" s="16">
        <v>1906093</v>
      </c>
      <c r="D146" s="16">
        <v>1782999.16</v>
      </c>
      <c r="E146" s="16">
        <v>1782999.16</v>
      </c>
      <c r="F146" s="17">
        <f t="shared" si="9"/>
        <v>0.93542086351505405</v>
      </c>
      <c r="G146" s="17">
        <f t="shared" si="10"/>
        <v>0.53260772392087885</v>
      </c>
    </row>
    <row r="147" spans="1:7" x14ac:dyDescent="0.25">
      <c r="A147" s="15" t="s">
        <v>16</v>
      </c>
      <c r="B147" s="16">
        <v>700000</v>
      </c>
      <c r="C147" s="16">
        <v>560000</v>
      </c>
      <c r="D147" s="16">
        <v>217697.68</v>
      </c>
      <c r="E147" s="16">
        <v>217697.68</v>
      </c>
      <c r="F147" s="17">
        <f t="shared" si="9"/>
        <v>0.38874585714285714</v>
      </c>
      <c r="G147" s="17">
        <f t="shared" si="10"/>
        <v>0.31099668571428568</v>
      </c>
    </row>
    <row r="148" spans="1:7" x14ac:dyDescent="0.25">
      <c r="A148" s="15" t="s">
        <v>36</v>
      </c>
      <c r="B148" s="16">
        <v>33000</v>
      </c>
      <c r="C148" s="16">
        <v>33000</v>
      </c>
      <c r="D148" s="18"/>
      <c r="E148" s="18"/>
      <c r="F148" s="17">
        <f t="shared" si="9"/>
        <v>0</v>
      </c>
      <c r="G148" s="17">
        <f t="shared" si="10"/>
        <v>0</v>
      </c>
    </row>
    <row r="149" spans="1:7" x14ac:dyDescent="0.25">
      <c r="A149" s="15" t="s">
        <v>17</v>
      </c>
      <c r="B149" s="16">
        <v>2200000</v>
      </c>
      <c r="C149" s="16">
        <v>1200000</v>
      </c>
      <c r="D149" s="16">
        <v>112465.91</v>
      </c>
      <c r="E149" s="16">
        <v>112465.91</v>
      </c>
      <c r="F149" s="17">
        <f t="shared" si="9"/>
        <v>9.3721591666666673E-2</v>
      </c>
      <c r="G149" s="17">
        <f t="shared" si="10"/>
        <v>5.1120868181818185E-2</v>
      </c>
    </row>
    <row r="150" spans="1:7" x14ac:dyDescent="0.25">
      <c r="A150" s="15" t="s">
        <v>18</v>
      </c>
      <c r="B150" s="16">
        <v>1705364</v>
      </c>
      <c r="C150" s="16">
        <v>1209494</v>
      </c>
      <c r="D150" s="16">
        <v>1206377.1499999999</v>
      </c>
      <c r="E150" s="16">
        <v>1206377.1499999999</v>
      </c>
      <c r="F150" s="17">
        <f t="shared" si="9"/>
        <v>0.99742301326009053</v>
      </c>
      <c r="G150" s="17">
        <f t="shared" si="10"/>
        <v>0.7074015576733178</v>
      </c>
    </row>
    <row r="151" spans="1:7" x14ac:dyDescent="0.25">
      <c r="A151" s="15" t="s">
        <v>19</v>
      </c>
      <c r="B151" s="16">
        <v>118086</v>
      </c>
      <c r="C151" s="16">
        <v>54287</v>
      </c>
      <c r="D151" s="16">
        <v>53178.720000000001</v>
      </c>
      <c r="E151" s="16">
        <v>53178.720000000001</v>
      </c>
      <c r="F151" s="17">
        <f t="shared" si="9"/>
        <v>0.97958479930738485</v>
      </c>
      <c r="G151" s="17">
        <f t="shared" si="10"/>
        <v>0.45033890554341754</v>
      </c>
    </row>
    <row r="152" spans="1:7" x14ac:dyDescent="0.25">
      <c r="A152" s="15" t="s">
        <v>20</v>
      </c>
      <c r="B152" s="16">
        <v>1688077</v>
      </c>
      <c r="C152" s="16">
        <v>592637</v>
      </c>
      <c r="D152" s="16">
        <v>87767.1</v>
      </c>
      <c r="E152" s="16">
        <v>37784.379999999997</v>
      </c>
      <c r="F152" s="17">
        <f t="shared" si="9"/>
        <v>0.1480958833147441</v>
      </c>
      <c r="G152" s="17">
        <f t="shared" si="10"/>
        <v>5.1992355798935713E-2</v>
      </c>
    </row>
    <row r="153" spans="1:7" x14ac:dyDescent="0.25">
      <c r="A153" s="15" t="s">
        <v>32</v>
      </c>
      <c r="B153" s="16">
        <v>22436</v>
      </c>
      <c r="C153" s="16">
        <v>13434</v>
      </c>
      <c r="D153" s="16">
        <v>7129.56</v>
      </c>
      <c r="E153" s="16">
        <v>7129.56</v>
      </c>
      <c r="F153" s="17">
        <f t="shared" si="9"/>
        <v>0.5307101384546673</v>
      </c>
      <c r="G153" s="17">
        <f t="shared" si="10"/>
        <v>0.31777322160812982</v>
      </c>
    </row>
    <row r="154" spans="1:7" ht="24" x14ac:dyDescent="0.25">
      <c r="A154" s="15" t="s">
        <v>21</v>
      </c>
      <c r="B154" s="16">
        <v>3000</v>
      </c>
      <c r="C154" s="16">
        <v>3000</v>
      </c>
      <c r="D154" s="16">
        <v>1800</v>
      </c>
      <c r="E154" s="16">
        <v>1800</v>
      </c>
      <c r="F154" s="17">
        <f t="shared" si="9"/>
        <v>0.6</v>
      </c>
      <c r="G154" s="17">
        <f t="shared" si="10"/>
        <v>0.6</v>
      </c>
    </row>
    <row r="155" spans="1:7" ht="24" x14ac:dyDescent="0.25">
      <c r="A155" s="13" t="s">
        <v>153</v>
      </c>
      <c r="B155" s="14">
        <v>25332500</v>
      </c>
      <c r="C155" s="14">
        <v>15928505</v>
      </c>
      <c r="D155" s="14">
        <v>13941843.560000001</v>
      </c>
      <c r="E155" s="14">
        <v>13941843.560000001</v>
      </c>
      <c r="F155" s="34">
        <f t="shared" si="9"/>
        <v>0.8752763401210597</v>
      </c>
      <c r="G155" s="34">
        <f t="shared" si="10"/>
        <v>0.55035403375111025</v>
      </c>
    </row>
    <row r="156" spans="1:7" x14ac:dyDescent="0.25">
      <c r="A156" s="15" t="s">
        <v>14</v>
      </c>
      <c r="B156" s="16">
        <v>15269179</v>
      </c>
      <c r="C156" s="16">
        <v>9634181</v>
      </c>
      <c r="D156" s="16">
        <v>9617698.3300000001</v>
      </c>
      <c r="E156" s="16">
        <v>9617698.3300000001</v>
      </c>
      <c r="F156" s="17">
        <f t="shared" si="9"/>
        <v>0.99828914673701896</v>
      </c>
      <c r="G156" s="17">
        <f t="shared" si="10"/>
        <v>0.62987658537502245</v>
      </c>
    </row>
    <row r="157" spans="1:7" x14ac:dyDescent="0.25">
      <c r="A157" s="15" t="s">
        <v>15</v>
      </c>
      <c r="B157" s="16">
        <v>3359218</v>
      </c>
      <c r="C157" s="16">
        <v>2119518</v>
      </c>
      <c r="D157" s="16">
        <v>2070720.91</v>
      </c>
      <c r="E157" s="16">
        <v>2070720.91</v>
      </c>
      <c r="F157" s="17">
        <f t="shared" si="9"/>
        <v>0.97697727030390868</v>
      </c>
      <c r="G157" s="17">
        <f t="shared" si="10"/>
        <v>0.61642945173549313</v>
      </c>
    </row>
    <row r="158" spans="1:7" x14ac:dyDescent="0.25">
      <c r="A158" s="15" t="s">
        <v>16</v>
      </c>
      <c r="B158" s="16">
        <v>714160</v>
      </c>
      <c r="C158" s="16">
        <v>714160</v>
      </c>
      <c r="D158" s="16">
        <v>200950.72</v>
      </c>
      <c r="E158" s="16">
        <v>200950.72</v>
      </c>
      <c r="F158" s="17">
        <f t="shared" si="9"/>
        <v>0.28138053097345134</v>
      </c>
      <c r="G158" s="17">
        <f t="shared" si="10"/>
        <v>0.28138053097345134</v>
      </c>
    </row>
    <row r="159" spans="1:7" x14ac:dyDescent="0.25">
      <c r="A159" s="15" t="s">
        <v>36</v>
      </c>
      <c r="B159" s="16">
        <v>24900</v>
      </c>
      <c r="C159" s="16">
        <v>24900</v>
      </c>
      <c r="D159" s="18"/>
      <c r="E159" s="18"/>
      <c r="F159" s="17">
        <f t="shared" si="9"/>
        <v>0</v>
      </c>
      <c r="G159" s="17">
        <f t="shared" si="10"/>
        <v>0</v>
      </c>
    </row>
    <row r="160" spans="1:7" x14ac:dyDescent="0.25">
      <c r="A160" s="15" t="s">
        <v>17</v>
      </c>
      <c r="B160" s="16">
        <v>2142479</v>
      </c>
      <c r="C160" s="16">
        <v>1334479</v>
      </c>
      <c r="D160" s="16">
        <v>510849.87</v>
      </c>
      <c r="E160" s="16">
        <v>510849.87</v>
      </c>
      <c r="F160" s="17">
        <f t="shared" si="9"/>
        <v>0.38280847431844189</v>
      </c>
      <c r="G160" s="17">
        <f t="shared" si="10"/>
        <v>0.23843868247950153</v>
      </c>
    </row>
    <row r="161" spans="1:7" x14ac:dyDescent="0.25">
      <c r="A161" s="15" t="s">
        <v>18</v>
      </c>
      <c r="B161" s="16">
        <v>2197039</v>
      </c>
      <c r="C161" s="16">
        <v>1064041</v>
      </c>
      <c r="D161" s="16">
        <v>1056352.8700000001</v>
      </c>
      <c r="E161" s="16">
        <v>1056352.8700000001</v>
      </c>
      <c r="F161" s="17">
        <f t="shared" si="9"/>
        <v>0.99277459233243848</v>
      </c>
      <c r="G161" s="17">
        <f t="shared" si="10"/>
        <v>0.48080751866489402</v>
      </c>
    </row>
    <row r="162" spans="1:7" x14ac:dyDescent="0.25">
      <c r="A162" s="15" t="s">
        <v>19</v>
      </c>
      <c r="B162" s="16">
        <v>278416</v>
      </c>
      <c r="C162" s="16">
        <v>143580</v>
      </c>
      <c r="D162" s="16">
        <v>64741.21</v>
      </c>
      <c r="E162" s="16">
        <v>64741.21</v>
      </c>
      <c r="F162" s="17">
        <f t="shared" si="9"/>
        <v>0.45090688118122302</v>
      </c>
      <c r="G162" s="17">
        <f t="shared" si="10"/>
        <v>0.23253408568473075</v>
      </c>
    </row>
    <row r="163" spans="1:7" x14ac:dyDescent="0.25">
      <c r="A163" s="15" t="s">
        <v>20</v>
      </c>
      <c r="B163" s="16">
        <v>1287817</v>
      </c>
      <c r="C163" s="16">
        <v>862500</v>
      </c>
      <c r="D163" s="16">
        <v>392692.41</v>
      </c>
      <c r="E163" s="16">
        <v>392692.41</v>
      </c>
      <c r="F163" s="17">
        <f t="shared" si="9"/>
        <v>0.45529554782608694</v>
      </c>
      <c r="G163" s="17">
        <f t="shared" si="10"/>
        <v>0.30492873599276915</v>
      </c>
    </row>
    <row r="164" spans="1:7" x14ac:dyDescent="0.25">
      <c r="A164" s="15" t="s">
        <v>32</v>
      </c>
      <c r="B164" s="16">
        <v>56292</v>
      </c>
      <c r="C164" s="16">
        <v>28146</v>
      </c>
      <c r="D164" s="16">
        <v>27837.24</v>
      </c>
      <c r="E164" s="16">
        <v>27837.24</v>
      </c>
      <c r="F164" s="17">
        <f t="shared" si="9"/>
        <v>0.98903005755702411</v>
      </c>
      <c r="G164" s="17">
        <f t="shared" si="10"/>
        <v>0.49451502877851206</v>
      </c>
    </row>
    <row r="165" spans="1:7" ht="24" x14ac:dyDescent="0.25">
      <c r="A165" s="15" t="s">
        <v>21</v>
      </c>
      <c r="B165" s="16">
        <v>3000</v>
      </c>
      <c r="C165" s="16">
        <v>3000</v>
      </c>
      <c r="D165" s="18"/>
      <c r="E165" s="18"/>
      <c r="F165" s="17">
        <f t="shared" si="9"/>
        <v>0</v>
      </c>
      <c r="G165" s="17">
        <f t="shared" si="10"/>
        <v>0</v>
      </c>
    </row>
    <row r="166" spans="1:7" x14ac:dyDescent="0.25">
      <c r="A166" s="13" t="s">
        <v>154</v>
      </c>
      <c r="B166" s="14">
        <v>31906664</v>
      </c>
      <c r="C166" s="14">
        <v>20534565</v>
      </c>
      <c r="D166" s="14">
        <v>14814401.970000001</v>
      </c>
      <c r="E166" s="14">
        <v>14814401.970000001</v>
      </c>
      <c r="F166" s="34">
        <f t="shared" si="9"/>
        <v>0.7214373408932695</v>
      </c>
      <c r="G166" s="34">
        <f t="shared" si="10"/>
        <v>0.46430432119133486</v>
      </c>
    </row>
    <row r="167" spans="1:7" x14ac:dyDescent="0.25">
      <c r="A167" s="15" t="s">
        <v>14</v>
      </c>
      <c r="B167" s="16">
        <v>17650926</v>
      </c>
      <c r="C167" s="16">
        <v>11173074</v>
      </c>
      <c r="D167" s="16">
        <v>9674983.0500000007</v>
      </c>
      <c r="E167" s="16">
        <v>9674983.0500000007</v>
      </c>
      <c r="F167" s="17">
        <f t="shared" si="9"/>
        <v>0.86591953566225377</v>
      </c>
      <c r="G167" s="17">
        <f t="shared" si="10"/>
        <v>0.54812892252791723</v>
      </c>
    </row>
    <row r="168" spans="1:7" x14ac:dyDescent="0.25">
      <c r="A168" s="15" t="s">
        <v>15</v>
      </c>
      <c r="B168" s="16">
        <v>3883206</v>
      </c>
      <c r="C168" s="16">
        <v>2458077</v>
      </c>
      <c r="D168" s="16">
        <v>2139125.2400000002</v>
      </c>
      <c r="E168" s="16">
        <v>2139125.2400000002</v>
      </c>
      <c r="F168" s="17">
        <f t="shared" si="9"/>
        <v>0.87024338130986145</v>
      </c>
      <c r="G168" s="17">
        <f t="shared" si="10"/>
        <v>0.5508657640104595</v>
      </c>
    </row>
    <row r="169" spans="1:7" x14ac:dyDescent="0.25">
      <c r="A169" s="15" t="s">
        <v>16</v>
      </c>
      <c r="B169" s="16">
        <v>1220000</v>
      </c>
      <c r="C169" s="16">
        <v>1040000</v>
      </c>
      <c r="D169" s="16">
        <v>193925.14</v>
      </c>
      <c r="E169" s="16">
        <v>193925.14</v>
      </c>
      <c r="F169" s="17">
        <f t="shared" si="9"/>
        <v>0.18646648076923078</v>
      </c>
      <c r="G169" s="17">
        <f t="shared" si="10"/>
        <v>0.15895503278688525</v>
      </c>
    </row>
    <row r="170" spans="1:7" x14ac:dyDescent="0.25">
      <c r="A170" s="15" t="s">
        <v>36</v>
      </c>
      <c r="B170" s="16">
        <v>43700</v>
      </c>
      <c r="C170" s="16">
        <v>43700</v>
      </c>
      <c r="D170" s="18"/>
      <c r="E170" s="18"/>
      <c r="F170" s="17">
        <f t="shared" si="9"/>
        <v>0</v>
      </c>
      <c r="G170" s="17">
        <f t="shared" si="10"/>
        <v>0</v>
      </c>
    </row>
    <row r="171" spans="1:7" x14ac:dyDescent="0.25">
      <c r="A171" s="15" t="s">
        <v>42</v>
      </c>
      <c r="B171" s="16">
        <v>351518</v>
      </c>
      <c r="C171" s="16">
        <v>351518</v>
      </c>
      <c r="D171" s="16">
        <v>351466.5</v>
      </c>
      <c r="E171" s="16">
        <v>351466.5</v>
      </c>
      <c r="F171" s="17">
        <f t="shared" si="9"/>
        <v>0.99985349256652578</v>
      </c>
      <c r="G171" s="17">
        <f t="shared" si="10"/>
        <v>0.99985349256652578</v>
      </c>
    </row>
    <row r="172" spans="1:7" x14ac:dyDescent="0.25">
      <c r="A172" s="15" t="s">
        <v>17</v>
      </c>
      <c r="B172" s="16">
        <v>3620000</v>
      </c>
      <c r="C172" s="16">
        <v>2100000</v>
      </c>
      <c r="D172" s="16">
        <v>385297.52</v>
      </c>
      <c r="E172" s="16">
        <v>385297.52</v>
      </c>
      <c r="F172" s="17">
        <f t="shared" si="9"/>
        <v>0.18347500952380955</v>
      </c>
      <c r="G172" s="17">
        <f t="shared" si="10"/>
        <v>0.10643577900552487</v>
      </c>
    </row>
    <row r="173" spans="1:7" x14ac:dyDescent="0.25">
      <c r="A173" s="15" t="s">
        <v>18</v>
      </c>
      <c r="B173" s="16">
        <v>1565664</v>
      </c>
      <c r="C173" s="16">
        <v>1116612</v>
      </c>
      <c r="D173" s="16">
        <v>711726.36</v>
      </c>
      <c r="E173" s="16">
        <v>711726.36</v>
      </c>
      <c r="F173" s="17">
        <f t="shared" si="9"/>
        <v>0.6373980935186081</v>
      </c>
      <c r="G173" s="17">
        <f t="shared" si="10"/>
        <v>0.45458435526396468</v>
      </c>
    </row>
    <row r="174" spans="1:7" x14ac:dyDescent="0.25">
      <c r="A174" s="15" t="s">
        <v>19</v>
      </c>
      <c r="B174" s="16">
        <v>418575</v>
      </c>
      <c r="C174" s="16">
        <v>237294</v>
      </c>
      <c r="D174" s="18"/>
      <c r="E174" s="18"/>
      <c r="F174" s="17">
        <f t="shared" si="9"/>
        <v>0</v>
      </c>
      <c r="G174" s="17">
        <f t="shared" si="10"/>
        <v>0</v>
      </c>
    </row>
    <row r="175" spans="1:7" x14ac:dyDescent="0.25">
      <c r="A175" s="15" t="s">
        <v>20</v>
      </c>
      <c r="B175" s="16">
        <v>3115130</v>
      </c>
      <c r="C175" s="16">
        <v>1983000</v>
      </c>
      <c r="D175" s="16">
        <v>1340619.03</v>
      </c>
      <c r="E175" s="16">
        <v>1340619.03</v>
      </c>
      <c r="F175" s="17">
        <f t="shared" si="9"/>
        <v>0.67605599092284419</v>
      </c>
      <c r="G175" s="17">
        <f t="shared" si="10"/>
        <v>0.43035733019167738</v>
      </c>
    </row>
    <row r="176" spans="1:7" x14ac:dyDescent="0.25">
      <c r="A176" s="15" t="s">
        <v>32</v>
      </c>
      <c r="B176" s="16">
        <v>34945</v>
      </c>
      <c r="C176" s="16">
        <v>28290</v>
      </c>
      <c r="D176" s="16">
        <v>14259.13</v>
      </c>
      <c r="E176" s="16">
        <v>14259.13</v>
      </c>
      <c r="F176" s="17">
        <f t="shared" si="9"/>
        <v>0.50403428773418169</v>
      </c>
      <c r="G176" s="17">
        <f t="shared" si="10"/>
        <v>0.40804492774359707</v>
      </c>
    </row>
    <row r="177" spans="1:7" ht="24" x14ac:dyDescent="0.25">
      <c r="A177" s="15" t="s">
        <v>21</v>
      </c>
      <c r="B177" s="16">
        <v>3000</v>
      </c>
      <c r="C177" s="16">
        <v>3000</v>
      </c>
      <c r="D177" s="16">
        <v>3000</v>
      </c>
      <c r="E177" s="16">
        <v>3000</v>
      </c>
      <c r="F177" s="17">
        <f t="shared" si="9"/>
        <v>1</v>
      </c>
      <c r="G177" s="17">
        <f t="shared" si="10"/>
        <v>1</v>
      </c>
    </row>
    <row r="178" spans="1:7" ht="24" x14ac:dyDescent="0.25">
      <c r="A178" s="13" t="s">
        <v>146</v>
      </c>
      <c r="B178" s="14">
        <v>780419265</v>
      </c>
      <c r="C178" s="14">
        <f>SUM(C179:C190)</f>
        <v>436357140</v>
      </c>
      <c r="D178" s="14">
        <v>372705313.45999998</v>
      </c>
      <c r="E178" s="14">
        <v>372705313.45999998</v>
      </c>
      <c r="F178" s="34">
        <f t="shared" si="9"/>
        <v>0.85412905919220206</v>
      </c>
      <c r="G178" s="34">
        <f t="shared" si="10"/>
        <v>0.47757062155558139</v>
      </c>
    </row>
    <row r="179" spans="1:7" x14ac:dyDescent="0.25">
      <c r="A179" s="15" t="s">
        <v>14</v>
      </c>
      <c r="B179" s="16">
        <v>449613607</v>
      </c>
      <c r="C179" s="16">
        <f>289467675-C134-C145-C156-C167</f>
        <v>240836802</v>
      </c>
      <c r="D179" s="16">
        <v>240140420.22</v>
      </c>
      <c r="E179" s="16">
        <v>240140420.22</v>
      </c>
      <c r="F179" s="17">
        <f t="shared" si="9"/>
        <v>0.99710849100213517</v>
      </c>
      <c r="G179" s="17">
        <f t="shared" si="10"/>
        <v>0.53410398724876673</v>
      </c>
    </row>
    <row r="180" spans="1:7" x14ac:dyDescent="0.25">
      <c r="A180" s="15" t="s">
        <v>15</v>
      </c>
      <c r="B180" s="16">
        <v>98914995</v>
      </c>
      <c r="C180" s="16">
        <f>63434358-C168-C157-C146-C135</f>
        <v>52713129</v>
      </c>
      <c r="D180" s="16">
        <v>51927559.75</v>
      </c>
      <c r="E180" s="16">
        <v>51927559.75</v>
      </c>
      <c r="F180" s="17">
        <f t="shared" si="9"/>
        <v>0.98509727529170199</v>
      </c>
      <c r="G180" s="17">
        <f t="shared" si="10"/>
        <v>0.52497156523133826</v>
      </c>
    </row>
    <row r="181" spans="1:7" x14ac:dyDescent="0.25">
      <c r="A181" s="15" t="s">
        <v>16</v>
      </c>
      <c r="B181" s="16">
        <v>26178423</v>
      </c>
      <c r="C181" s="16">
        <f>26154000-C169-C158-C147-C136</f>
        <v>21268695</v>
      </c>
      <c r="D181" s="16">
        <v>1282492.6100000001</v>
      </c>
      <c r="E181" s="16">
        <v>1282492.6100000001</v>
      </c>
      <c r="F181" s="17">
        <f t="shared" si="9"/>
        <v>6.0299544001171677E-2</v>
      </c>
      <c r="G181" s="17">
        <f t="shared" si="10"/>
        <v>4.8990445681162696E-2</v>
      </c>
    </row>
    <row r="182" spans="1:7" x14ac:dyDescent="0.25">
      <c r="A182" s="15" t="s">
        <v>36</v>
      </c>
      <c r="B182" s="16">
        <v>657800</v>
      </c>
      <c r="C182" s="16">
        <f>792000-C170-C159-C148-C137</f>
        <v>657800</v>
      </c>
      <c r="D182" s="18"/>
      <c r="E182" s="18"/>
      <c r="F182" s="17">
        <f t="shared" si="9"/>
        <v>0</v>
      </c>
      <c r="G182" s="17">
        <f t="shared" si="10"/>
        <v>0</v>
      </c>
    </row>
    <row r="183" spans="1:7" x14ac:dyDescent="0.25">
      <c r="A183" s="15" t="s">
        <v>42</v>
      </c>
      <c r="B183" s="16">
        <v>14678204</v>
      </c>
      <c r="C183" s="16">
        <f>15029722-C171</f>
        <v>14678204</v>
      </c>
      <c r="D183" s="16">
        <v>14664857.5</v>
      </c>
      <c r="E183" s="16">
        <v>14664857.5</v>
      </c>
      <c r="F183" s="17">
        <f t="shared" si="9"/>
        <v>0.99909072663113285</v>
      </c>
      <c r="G183" s="17">
        <f t="shared" si="10"/>
        <v>0.99909072663113285</v>
      </c>
    </row>
    <row r="184" spans="1:7" x14ac:dyDescent="0.25">
      <c r="A184" s="15" t="s">
        <v>17</v>
      </c>
      <c r="B184" s="16">
        <v>83179086</v>
      </c>
      <c r="C184" s="16">
        <f>49675000-C172-C160-C149-C138</f>
        <v>40987086</v>
      </c>
      <c r="D184" s="16">
        <v>4941139.96</v>
      </c>
      <c r="E184" s="16">
        <v>4941139.96</v>
      </c>
      <c r="F184" s="17">
        <f t="shared" si="9"/>
        <v>0.12055358021792523</v>
      </c>
      <c r="G184" s="17">
        <f t="shared" si="10"/>
        <v>5.9403633745145984E-2</v>
      </c>
    </row>
    <row r="185" spans="1:7" x14ac:dyDescent="0.25">
      <c r="A185" s="15" t="s">
        <v>18</v>
      </c>
      <c r="B185" s="16">
        <v>73229268</v>
      </c>
      <c r="C185" s="16">
        <f>53539369-C173-C161-C150-C139</f>
        <v>46566874</v>
      </c>
      <c r="D185" s="16">
        <v>46950236.689999998</v>
      </c>
      <c r="E185" s="16">
        <v>46950236.689999998</v>
      </c>
      <c r="F185" s="17">
        <f t="shared" si="9"/>
        <v>1.0082325193226411</v>
      </c>
      <c r="G185" s="17">
        <f t="shared" si="10"/>
        <v>0.64114032506784036</v>
      </c>
    </row>
    <row r="186" spans="1:7" x14ac:dyDescent="0.25">
      <c r="A186" s="15" t="s">
        <v>19</v>
      </c>
      <c r="B186" s="16">
        <v>4877401</v>
      </c>
      <c r="C186" s="16">
        <f>3242510-C174-C162-C151-C140</f>
        <v>2571195</v>
      </c>
      <c r="D186" s="16">
        <v>1984046.01</v>
      </c>
      <c r="E186" s="16">
        <v>1984046.01</v>
      </c>
      <c r="F186" s="17">
        <f t="shared" si="9"/>
        <v>0.77164353928815199</v>
      </c>
      <c r="G186" s="17">
        <f t="shared" si="10"/>
        <v>0.40678345085835671</v>
      </c>
    </row>
    <row r="187" spans="1:7" x14ac:dyDescent="0.25">
      <c r="A187" s="15" t="s">
        <v>20</v>
      </c>
      <c r="B187" s="16">
        <v>27933653</v>
      </c>
      <c r="C187" s="16">
        <f>20322460-C175-C163-C152-C141</f>
        <v>15360173</v>
      </c>
      <c r="D187" s="16">
        <v>10477509.41</v>
      </c>
      <c r="E187" s="16">
        <v>10477509.41</v>
      </c>
      <c r="F187" s="17">
        <f t="shared" si="9"/>
        <v>0.68212183612775712</v>
      </c>
      <c r="G187" s="17">
        <f t="shared" si="10"/>
        <v>0.37508554323346111</v>
      </c>
    </row>
    <row r="188" spans="1:7" x14ac:dyDescent="0.25">
      <c r="A188" s="15" t="s">
        <v>39</v>
      </c>
      <c r="B188" s="16">
        <v>1500</v>
      </c>
      <c r="C188" s="19">
        <v>858</v>
      </c>
      <c r="D188" s="18"/>
      <c r="E188" s="18"/>
      <c r="F188" s="17">
        <f t="shared" si="9"/>
        <v>0</v>
      </c>
      <c r="G188" s="17">
        <f t="shared" si="10"/>
        <v>0</v>
      </c>
    </row>
    <row r="189" spans="1:7" x14ac:dyDescent="0.25">
      <c r="A189" s="15" t="s">
        <v>32</v>
      </c>
      <c r="B189" s="16">
        <v>1017328</v>
      </c>
      <c r="C189" s="16">
        <f>707576-C176-C164-C153-C142</f>
        <v>578324</v>
      </c>
      <c r="D189" s="16">
        <v>270344.03000000003</v>
      </c>
      <c r="E189" s="16">
        <v>270344.03000000003</v>
      </c>
      <c r="F189" s="17">
        <f t="shared" si="9"/>
        <v>0.46746119822106647</v>
      </c>
      <c r="G189" s="17">
        <f t="shared" si="10"/>
        <v>0.26573929941965624</v>
      </c>
    </row>
    <row r="190" spans="1:7" ht="24" x14ac:dyDescent="0.25">
      <c r="A190" s="15" t="s">
        <v>21</v>
      </c>
      <c r="B190" s="16">
        <v>138000</v>
      </c>
      <c r="C190" s="16">
        <f>150000-C177-C165-C154-C143</f>
        <v>138000</v>
      </c>
      <c r="D190" s="16">
        <v>66707.28</v>
      </c>
      <c r="E190" s="16">
        <v>66707.28</v>
      </c>
      <c r="F190" s="17">
        <f t="shared" si="9"/>
        <v>0.48338608695652174</v>
      </c>
      <c r="G190" s="17">
        <f t="shared" si="10"/>
        <v>0.48338608695652174</v>
      </c>
    </row>
    <row r="191" spans="1:7" ht="60" x14ac:dyDescent="0.25">
      <c r="A191" s="10" t="s">
        <v>155</v>
      </c>
      <c r="B191" s="11">
        <v>47046553</v>
      </c>
      <c r="C191" s="11">
        <f>C192</f>
        <v>28882159</v>
      </c>
      <c r="D191" s="11">
        <v>24577547.57</v>
      </c>
      <c r="E191" s="11">
        <v>24577547.57</v>
      </c>
      <c r="F191" s="12">
        <f t="shared" si="9"/>
        <v>0.8509594995997356</v>
      </c>
      <c r="G191" s="12">
        <f t="shared" si="10"/>
        <v>0.52240910338319579</v>
      </c>
    </row>
    <row r="192" spans="1:7" ht="24" x14ac:dyDescent="0.25">
      <c r="A192" s="13" t="s">
        <v>146</v>
      </c>
      <c r="B192" s="14">
        <v>47046553</v>
      </c>
      <c r="C192" s="14">
        <v>28882159</v>
      </c>
      <c r="D192" s="14">
        <v>24577547.57</v>
      </c>
      <c r="E192" s="14">
        <v>24577547.57</v>
      </c>
      <c r="F192" s="34">
        <f t="shared" si="9"/>
        <v>0.8509594995997356</v>
      </c>
      <c r="G192" s="34">
        <f t="shared" si="10"/>
        <v>0.52240910338319579</v>
      </c>
    </row>
    <row r="193" spans="1:7" x14ac:dyDescent="0.25">
      <c r="A193" s="15" t="s">
        <v>14</v>
      </c>
      <c r="B193" s="16">
        <v>26855926</v>
      </c>
      <c r="C193" s="16">
        <v>15465926</v>
      </c>
      <c r="D193" s="16">
        <v>15086191.720000001</v>
      </c>
      <c r="E193" s="16">
        <v>15086191.720000001</v>
      </c>
      <c r="F193" s="17">
        <f t="shared" si="9"/>
        <v>0.97544703886466289</v>
      </c>
      <c r="G193" s="17">
        <f t="shared" si="10"/>
        <v>0.56174535631353772</v>
      </c>
    </row>
    <row r="194" spans="1:7" x14ac:dyDescent="0.25">
      <c r="A194" s="15" t="s">
        <v>15</v>
      </c>
      <c r="B194" s="16">
        <v>5908305</v>
      </c>
      <c r="C194" s="16">
        <v>3402505</v>
      </c>
      <c r="D194" s="16">
        <v>3236759.97</v>
      </c>
      <c r="E194" s="16">
        <v>3236759.97</v>
      </c>
      <c r="F194" s="17">
        <f t="shared" si="9"/>
        <v>0.95128735152483246</v>
      </c>
      <c r="G194" s="17">
        <f t="shared" si="10"/>
        <v>0.54783224122654472</v>
      </c>
    </row>
    <row r="195" spans="1:7" x14ac:dyDescent="0.25">
      <c r="A195" s="15" t="s">
        <v>16</v>
      </c>
      <c r="B195" s="16">
        <v>1179500</v>
      </c>
      <c r="C195" s="16">
        <v>1179500</v>
      </c>
      <c r="D195" s="16">
        <v>46874.28</v>
      </c>
      <c r="E195" s="16">
        <v>46874.28</v>
      </c>
      <c r="F195" s="17">
        <f t="shared" si="9"/>
        <v>3.9740805426027974E-2</v>
      </c>
      <c r="G195" s="17">
        <f t="shared" si="10"/>
        <v>3.9740805426027974E-2</v>
      </c>
    </row>
    <row r="196" spans="1:7" x14ac:dyDescent="0.25">
      <c r="A196" s="15" t="s">
        <v>36</v>
      </c>
      <c r="B196" s="16">
        <v>30000</v>
      </c>
      <c r="C196" s="16">
        <v>30000</v>
      </c>
      <c r="D196" s="18"/>
      <c r="E196" s="18"/>
      <c r="F196" s="17">
        <f t="shared" si="9"/>
        <v>0</v>
      </c>
      <c r="G196" s="17">
        <f t="shared" si="10"/>
        <v>0</v>
      </c>
    </row>
    <row r="197" spans="1:7" x14ac:dyDescent="0.25">
      <c r="A197" s="15" t="s">
        <v>42</v>
      </c>
      <c r="B197" s="16">
        <v>2577510</v>
      </c>
      <c r="C197" s="16">
        <v>1417510</v>
      </c>
      <c r="D197" s="16">
        <v>1416849.91</v>
      </c>
      <c r="E197" s="16">
        <v>1416849.91</v>
      </c>
      <c r="F197" s="17">
        <f t="shared" si="9"/>
        <v>0.99953433132746849</v>
      </c>
      <c r="G197" s="17">
        <f t="shared" si="10"/>
        <v>0.54969715345430281</v>
      </c>
    </row>
    <row r="198" spans="1:7" x14ac:dyDescent="0.25">
      <c r="A198" s="15" t="s">
        <v>17</v>
      </c>
      <c r="B198" s="16">
        <v>3025300</v>
      </c>
      <c r="C198" s="16">
        <v>2425300</v>
      </c>
      <c r="D198" s="16">
        <v>179598.78</v>
      </c>
      <c r="E198" s="16">
        <v>179598.78</v>
      </c>
      <c r="F198" s="17">
        <f t="shared" si="9"/>
        <v>7.4052191481466204E-2</v>
      </c>
      <c r="G198" s="17">
        <f t="shared" si="10"/>
        <v>5.9365610022146562E-2</v>
      </c>
    </row>
    <row r="199" spans="1:7" x14ac:dyDescent="0.25">
      <c r="A199" s="15" t="s">
        <v>18</v>
      </c>
      <c r="B199" s="16">
        <v>6041227</v>
      </c>
      <c r="C199" s="16">
        <v>4125658</v>
      </c>
      <c r="D199" s="16">
        <v>4099996.8</v>
      </c>
      <c r="E199" s="16">
        <v>4099996.8</v>
      </c>
      <c r="F199" s="17">
        <f t="shared" si="9"/>
        <v>0.99378009519935961</v>
      </c>
      <c r="G199" s="17">
        <f t="shared" si="10"/>
        <v>0.67866954842120641</v>
      </c>
    </row>
    <row r="200" spans="1:7" x14ac:dyDescent="0.25">
      <c r="A200" s="15" t="s">
        <v>19</v>
      </c>
      <c r="B200" s="16">
        <v>285424</v>
      </c>
      <c r="C200" s="16">
        <v>144224</v>
      </c>
      <c r="D200" s="16">
        <v>108689.75</v>
      </c>
      <c r="E200" s="16">
        <v>108689.75</v>
      </c>
      <c r="F200" s="17">
        <f t="shared" ref="F200:F263" si="11">D200/C200</f>
        <v>0.75361763645440427</v>
      </c>
      <c r="G200" s="17">
        <f t="shared" ref="G200:G263" si="12">D200/B200</f>
        <v>0.38080101883513651</v>
      </c>
    </row>
    <row r="201" spans="1:7" x14ac:dyDescent="0.25">
      <c r="A201" s="15" t="s">
        <v>20</v>
      </c>
      <c r="B201" s="16">
        <v>1091140</v>
      </c>
      <c r="C201" s="16">
        <v>662000</v>
      </c>
      <c r="D201" s="16">
        <v>381943.59</v>
      </c>
      <c r="E201" s="16">
        <v>381943.59</v>
      </c>
      <c r="F201" s="17">
        <f t="shared" si="11"/>
        <v>0.57695406344410882</v>
      </c>
      <c r="G201" s="17">
        <f t="shared" si="12"/>
        <v>0.35004086551679897</v>
      </c>
    </row>
    <row r="202" spans="1:7" x14ac:dyDescent="0.25">
      <c r="A202" s="15" t="s">
        <v>39</v>
      </c>
      <c r="B202" s="16">
        <v>2000</v>
      </c>
      <c r="C202" s="16">
        <v>1232</v>
      </c>
      <c r="D202" s="19">
        <v>522.16</v>
      </c>
      <c r="E202" s="19">
        <v>522.16</v>
      </c>
      <c r="F202" s="17">
        <f t="shared" si="11"/>
        <v>0.42383116883116878</v>
      </c>
      <c r="G202" s="17">
        <f t="shared" si="12"/>
        <v>0.26107999999999998</v>
      </c>
    </row>
    <row r="203" spans="1:7" x14ac:dyDescent="0.25">
      <c r="A203" s="15" t="s">
        <v>32</v>
      </c>
      <c r="B203" s="16">
        <v>44221</v>
      </c>
      <c r="C203" s="16">
        <v>22304</v>
      </c>
      <c r="D203" s="16">
        <v>14958.69</v>
      </c>
      <c r="E203" s="16">
        <v>14958.69</v>
      </c>
      <c r="F203" s="17">
        <f t="shared" si="11"/>
        <v>0.67067297345767574</v>
      </c>
      <c r="G203" s="17">
        <f t="shared" si="12"/>
        <v>0.33827118337441486</v>
      </c>
    </row>
    <row r="204" spans="1:7" ht="24" x14ac:dyDescent="0.25">
      <c r="A204" s="15" t="s">
        <v>21</v>
      </c>
      <c r="B204" s="16">
        <v>6000</v>
      </c>
      <c r="C204" s="16">
        <v>6000</v>
      </c>
      <c r="D204" s="16">
        <v>5161.92</v>
      </c>
      <c r="E204" s="16">
        <v>5161.92</v>
      </c>
      <c r="F204" s="17">
        <f t="shared" si="11"/>
        <v>0.86031999999999997</v>
      </c>
      <c r="G204" s="17">
        <f t="shared" si="12"/>
        <v>0.86031999999999997</v>
      </c>
    </row>
    <row r="205" spans="1:7" ht="36" x14ac:dyDescent="0.25">
      <c r="A205" s="10" t="s">
        <v>156</v>
      </c>
      <c r="B205" s="11">
        <v>57752620</v>
      </c>
      <c r="C205" s="11">
        <f>C206+C217</f>
        <v>34928709</v>
      </c>
      <c r="D205" s="11">
        <v>25478424.149999999</v>
      </c>
      <c r="E205" s="11">
        <v>25478424.149999999</v>
      </c>
      <c r="F205" s="12">
        <f t="shared" si="11"/>
        <v>0.72944076318423334</v>
      </c>
      <c r="G205" s="12">
        <f t="shared" si="12"/>
        <v>0.44116481901600307</v>
      </c>
    </row>
    <row r="206" spans="1:7" ht="24" x14ac:dyDescent="0.25">
      <c r="A206" s="13" t="s">
        <v>157</v>
      </c>
      <c r="B206" s="14">
        <v>33049662</v>
      </c>
      <c r="C206" s="14">
        <v>21058248</v>
      </c>
      <c r="D206" s="14">
        <v>16091720.16</v>
      </c>
      <c r="E206" s="14">
        <v>16091720.16</v>
      </c>
      <c r="F206" s="34">
        <f t="shared" si="11"/>
        <v>0.76415284690350305</v>
      </c>
      <c r="G206" s="34">
        <f t="shared" si="12"/>
        <v>0.48689515069775902</v>
      </c>
    </row>
    <row r="207" spans="1:7" x14ac:dyDescent="0.25">
      <c r="A207" s="15" t="s">
        <v>14</v>
      </c>
      <c r="B207" s="16">
        <v>20317000</v>
      </c>
      <c r="C207" s="16">
        <v>11664900</v>
      </c>
      <c r="D207" s="16">
        <v>11601816.4</v>
      </c>
      <c r="E207" s="16">
        <v>11601816.4</v>
      </c>
      <c r="F207" s="17">
        <f t="shared" si="11"/>
        <v>0.99459201536232633</v>
      </c>
      <c r="G207" s="17">
        <f t="shared" si="12"/>
        <v>0.57103983855884233</v>
      </c>
    </row>
    <row r="208" spans="1:7" x14ac:dyDescent="0.25">
      <c r="A208" s="15" t="s">
        <v>15</v>
      </c>
      <c r="B208" s="16">
        <v>4454780</v>
      </c>
      <c r="C208" s="16">
        <v>2551318</v>
      </c>
      <c r="D208" s="16">
        <v>2530435.17</v>
      </c>
      <c r="E208" s="16">
        <v>2530435.17</v>
      </c>
      <c r="F208" s="17">
        <f t="shared" si="11"/>
        <v>0.99181488548271912</v>
      </c>
      <c r="G208" s="17">
        <f t="shared" si="12"/>
        <v>0.56802696653931284</v>
      </c>
    </row>
    <row r="209" spans="1:7" x14ac:dyDescent="0.25">
      <c r="A209" s="15" t="s">
        <v>16</v>
      </c>
      <c r="B209" s="16">
        <v>2149400</v>
      </c>
      <c r="C209" s="16">
        <v>2149400</v>
      </c>
      <c r="D209" s="16">
        <v>645739.92000000004</v>
      </c>
      <c r="E209" s="16">
        <v>645739.92000000004</v>
      </c>
      <c r="F209" s="17">
        <f t="shared" si="11"/>
        <v>0.30042798920629016</v>
      </c>
      <c r="G209" s="17">
        <f t="shared" si="12"/>
        <v>0.30042798920629016</v>
      </c>
    </row>
    <row r="210" spans="1:7" x14ac:dyDescent="0.25">
      <c r="A210" s="15" t="s">
        <v>36</v>
      </c>
      <c r="B210" s="16">
        <v>15000</v>
      </c>
      <c r="C210" s="16">
        <v>15000</v>
      </c>
      <c r="D210" s="18"/>
      <c r="E210" s="18"/>
      <c r="F210" s="17">
        <f t="shared" si="11"/>
        <v>0</v>
      </c>
      <c r="G210" s="17">
        <f t="shared" si="12"/>
        <v>0</v>
      </c>
    </row>
    <row r="211" spans="1:7" x14ac:dyDescent="0.25">
      <c r="A211" s="15" t="s">
        <v>17</v>
      </c>
      <c r="B211" s="16">
        <v>4254705</v>
      </c>
      <c r="C211" s="16">
        <v>3654705</v>
      </c>
      <c r="D211" s="16">
        <v>646743.43000000005</v>
      </c>
      <c r="E211" s="16">
        <v>646743.43000000005</v>
      </c>
      <c r="F211" s="17">
        <f t="shared" si="11"/>
        <v>0.17696186969946961</v>
      </c>
      <c r="G211" s="17">
        <f t="shared" si="12"/>
        <v>0.15200664440895434</v>
      </c>
    </row>
    <row r="212" spans="1:7" x14ac:dyDescent="0.25">
      <c r="A212" s="15" t="s">
        <v>18</v>
      </c>
      <c r="B212" s="16">
        <v>703378</v>
      </c>
      <c r="C212" s="16">
        <v>392985</v>
      </c>
      <c r="D212" s="16">
        <v>287392.65999999997</v>
      </c>
      <c r="E212" s="16">
        <v>287392.65999999997</v>
      </c>
      <c r="F212" s="17">
        <f t="shared" si="11"/>
        <v>0.73130694555771847</v>
      </c>
      <c r="G212" s="17">
        <f t="shared" si="12"/>
        <v>0.40858920807872862</v>
      </c>
    </row>
    <row r="213" spans="1:7" x14ac:dyDescent="0.25">
      <c r="A213" s="15" t="s">
        <v>19</v>
      </c>
      <c r="B213" s="16">
        <v>46435</v>
      </c>
      <c r="C213" s="16">
        <v>29958</v>
      </c>
      <c r="D213" s="16">
        <v>27459.41</v>
      </c>
      <c r="E213" s="16">
        <v>27459.41</v>
      </c>
      <c r="F213" s="17">
        <f t="shared" si="11"/>
        <v>0.91659690232992852</v>
      </c>
      <c r="G213" s="17">
        <f t="shared" si="12"/>
        <v>0.59135156670614841</v>
      </c>
    </row>
    <row r="214" spans="1:7" x14ac:dyDescent="0.25">
      <c r="A214" s="15" t="s">
        <v>20</v>
      </c>
      <c r="B214" s="16">
        <v>1070000</v>
      </c>
      <c r="C214" s="16">
        <v>579000</v>
      </c>
      <c r="D214" s="16">
        <v>341616.16</v>
      </c>
      <c r="E214" s="16">
        <v>341616.16</v>
      </c>
      <c r="F214" s="17">
        <f t="shared" si="11"/>
        <v>0.59001063903281514</v>
      </c>
      <c r="G214" s="17">
        <f t="shared" si="12"/>
        <v>0.31926743925233642</v>
      </c>
    </row>
    <row r="215" spans="1:7" x14ac:dyDescent="0.25">
      <c r="A215" s="15" t="s">
        <v>32</v>
      </c>
      <c r="B215" s="16">
        <v>35964</v>
      </c>
      <c r="C215" s="16">
        <v>17982</v>
      </c>
      <c r="D215" s="16">
        <v>10517.01</v>
      </c>
      <c r="E215" s="16">
        <v>10517.01</v>
      </c>
      <c r="F215" s="17">
        <f t="shared" si="11"/>
        <v>0.58486319652986318</v>
      </c>
      <c r="G215" s="17">
        <f t="shared" si="12"/>
        <v>0.29243159826493159</v>
      </c>
    </row>
    <row r="216" spans="1:7" ht="24" x14ac:dyDescent="0.25">
      <c r="A216" s="15" t="s">
        <v>21</v>
      </c>
      <c r="B216" s="16">
        <v>3000</v>
      </c>
      <c r="C216" s="16">
        <v>3000</v>
      </c>
      <c r="D216" s="18"/>
      <c r="E216" s="18"/>
      <c r="F216" s="17">
        <f t="shared" si="11"/>
        <v>0</v>
      </c>
      <c r="G216" s="17">
        <f t="shared" si="12"/>
        <v>0</v>
      </c>
    </row>
    <row r="217" spans="1:7" ht="24" x14ac:dyDescent="0.25">
      <c r="A217" s="13" t="s">
        <v>146</v>
      </c>
      <c r="B217" s="14">
        <v>24702958</v>
      </c>
      <c r="C217" s="14">
        <f>SUM(C218:C227)</f>
        <v>13870461</v>
      </c>
      <c r="D217" s="14">
        <v>9386703.9900000002</v>
      </c>
      <c r="E217" s="14">
        <v>9386703.9900000002</v>
      </c>
      <c r="F217" s="34">
        <f t="shared" si="11"/>
        <v>0.67674059211153836</v>
      </c>
      <c r="G217" s="34">
        <f t="shared" si="12"/>
        <v>0.37998299596347934</v>
      </c>
    </row>
    <row r="218" spans="1:7" x14ac:dyDescent="0.25">
      <c r="A218" s="15" t="s">
        <v>14</v>
      </c>
      <c r="B218" s="16">
        <v>14756362</v>
      </c>
      <c r="C218" s="16">
        <f>18699620-C207</f>
        <v>7034720</v>
      </c>
      <c r="D218" s="16">
        <v>6441399.0300000003</v>
      </c>
      <c r="E218" s="16">
        <v>6441399.0300000003</v>
      </c>
      <c r="F218" s="17">
        <f t="shared" si="11"/>
        <v>0.91565819677257942</v>
      </c>
      <c r="G218" s="17">
        <f t="shared" si="12"/>
        <v>0.43651673969505494</v>
      </c>
    </row>
    <row r="219" spans="1:7" x14ac:dyDescent="0.25">
      <c r="A219" s="15" t="s">
        <v>15</v>
      </c>
      <c r="B219" s="16">
        <v>3261359</v>
      </c>
      <c r="C219" s="16">
        <f>4120836-C208</f>
        <v>1569518</v>
      </c>
      <c r="D219" s="16">
        <v>1477894.46</v>
      </c>
      <c r="E219" s="16">
        <v>1477894.46</v>
      </c>
      <c r="F219" s="17">
        <f t="shared" si="11"/>
        <v>0.94162313525553698</v>
      </c>
      <c r="G219" s="17">
        <f t="shared" si="12"/>
        <v>0.45315295249618331</v>
      </c>
    </row>
    <row r="220" spans="1:7" x14ac:dyDescent="0.25">
      <c r="A220" s="15" t="s">
        <v>16</v>
      </c>
      <c r="B220" s="16">
        <v>1200000</v>
      </c>
      <c r="C220" s="16">
        <f>3349400-C209</f>
        <v>1200000</v>
      </c>
      <c r="D220" s="16">
        <v>14488.98</v>
      </c>
      <c r="E220" s="16">
        <v>14488.98</v>
      </c>
      <c r="F220" s="17">
        <f t="shared" si="11"/>
        <v>1.2074149999999999E-2</v>
      </c>
      <c r="G220" s="17">
        <f t="shared" si="12"/>
        <v>1.2074149999999999E-2</v>
      </c>
    </row>
    <row r="221" spans="1:7" x14ac:dyDescent="0.25">
      <c r="A221" s="15" t="s">
        <v>36</v>
      </c>
      <c r="B221" s="16">
        <v>15000</v>
      </c>
      <c r="C221" s="16">
        <f>30000-C210</f>
        <v>15000</v>
      </c>
      <c r="D221" s="18"/>
      <c r="E221" s="18"/>
      <c r="F221" s="17">
        <f t="shared" si="11"/>
        <v>0</v>
      </c>
      <c r="G221" s="17">
        <f t="shared" si="12"/>
        <v>0</v>
      </c>
    </row>
    <row r="222" spans="1:7" x14ac:dyDescent="0.25">
      <c r="A222" s="15" t="s">
        <v>17</v>
      </c>
      <c r="B222" s="16">
        <v>2793995</v>
      </c>
      <c r="C222" s="16">
        <f>6208700-C211</f>
        <v>2553995</v>
      </c>
      <c r="D222" s="16">
        <v>107079.26</v>
      </c>
      <c r="E222" s="16">
        <v>107079.26</v>
      </c>
      <c r="F222" s="17">
        <f t="shared" si="11"/>
        <v>4.1926182314374144E-2</v>
      </c>
      <c r="G222" s="17">
        <f t="shared" si="12"/>
        <v>3.8324785835336141E-2</v>
      </c>
    </row>
    <row r="223" spans="1:7" x14ac:dyDescent="0.25">
      <c r="A223" s="15" t="s">
        <v>18</v>
      </c>
      <c r="B223" s="16">
        <v>2082525</v>
      </c>
      <c r="C223" s="16">
        <f>1568275-C212</f>
        <v>1175290</v>
      </c>
      <c r="D223" s="16">
        <v>1153848.77</v>
      </c>
      <c r="E223" s="16">
        <v>1153848.77</v>
      </c>
      <c r="F223" s="17">
        <f t="shared" si="11"/>
        <v>0.98175664729556111</v>
      </c>
      <c r="G223" s="17">
        <f t="shared" si="12"/>
        <v>0.55406238580569267</v>
      </c>
    </row>
    <row r="224" spans="1:7" x14ac:dyDescent="0.25">
      <c r="A224" s="15" t="s">
        <v>19</v>
      </c>
      <c r="B224" s="16">
        <v>45606</v>
      </c>
      <c r="C224" s="16">
        <f>46071-C213</f>
        <v>16113</v>
      </c>
      <c r="D224" s="16">
        <v>16025.14</v>
      </c>
      <c r="E224" s="16">
        <v>16025.14</v>
      </c>
      <c r="F224" s="17">
        <f t="shared" si="11"/>
        <v>0.99454725997641658</v>
      </c>
      <c r="G224" s="17">
        <f t="shared" si="12"/>
        <v>0.35138227426215846</v>
      </c>
    </row>
    <row r="225" spans="1:7" x14ac:dyDescent="0.25">
      <c r="A225" s="15" t="s">
        <v>20</v>
      </c>
      <c r="B225" s="16">
        <v>525020</v>
      </c>
      <c r="C225" s="16">
        <f>871520-C214</f>
        <v>292520</v>
      </c>
      <c r="D225" s="16">
        <v>173589.47</v>
      </c>
      <c r="E225" s="16">
        <v>173589.47</v>
      </c>
      <c r="F225" s="17">
        <f t="shared" si="11"/>
        <v>0.59342769725147004</v>
      </c>
      <c r="G225" s="17">
        <f t="shared" si="12"/>
        <v>0.330634013942326</v>
      </c>
    </row>
    <row r="226" spans="1:7" x14ac:dyDescent="0.25">
      <c r="A226" s="15" t="s">
        <v>32</v>
      </c>
      <c r="B226" s="16">
        <v>20091</v>
      </c>
      <c r="C226" s="16">
        <f>28287-C215</f>
        <v>10305</v>
      </c>
      <c r="D226" s="16">
        <v>1628.88</v>
      </c>
      <c r="E226" s="16">
        <v>1628.88</v>
      </c>
      <c r="F226" s="17">
        <f t="shared" si="11"/>
        <v>0.15806695778748181</v>
      </c>
      <c r="G226" s="17">
        <f t="shared" si="12"/>
        <v>8.107510825742871E-2</v>
      </c>
    </row>
    <row r="227" spans="1:7" ht="24" x14ac:dyDescent="0.25">
      <c r="A227" s="15" t="s">
        <v>21</v>
      </c>
      <c r="B227" s="16">
        <v>3000</v>
      </c>
      <c r="C227" s="16">
        <f>6000-C216</f>
        <v>3000</v>
      </c>
      <c r="D227" s="19">
        <v>750</v>
      </c>
      <c r="E227" s="19">
        <v>750</v>
      </c>
      <c r="F227" s="17">
        <f t="shared" si="11"/>
        <v>0.25</v>
      </c>
      <c r="G227" s="17">
        <f t="shared" si="12"/>
        <v>0.25</v>
      </c>
    </row>
    <row r="228" spans="1:7" ht="24" x14ac:dyDescent="0.25">
      <c r="A228" s="10" t="s">
        <v>158</v>
      </c>
      <c r="B228" s="11">
        <v>469710224</v>
      </c>
      <c r="C228" s="11">
        <v>424327228</v>
      </c>
      <c r="D228" s="11">
        <v>424327228</v>
      </c>
      <c r="E228" s="11">
        <v>424327228</v>
      </c>
      <c r="F228" s="12">
        <f t="shared" si="11"/>
        <v>1</v>
      </c>
      <c r="G228" s="12">
        <f t="shared" si="12"/>
        <v>0.90338086402820139</v>
      </c>
    </row>
    <row r="229" spans="1:7" ht="24" x14ac:dyDescent="0.25">
      <c r="A229" s="10" t="s">
        <v>159</v>
      </c>
      <c r="B229" s="11">
        <v>172985</v>
      </c>
      <c r="C229" s="11">
        <v>172985</v>
      </c>
      <c r="D229" s="11">
        <v>172985</v>
      </c>
      <c r="E229" s="11">
        <v>172985</v>
      </c>
      <c r="F229" s="12">
        <f t="shared" si="11"/>
        <v>1</v>
      </c>
      <c r="G229" s="12">
        <f t="shared" si="12"/>
        <v>1</v>
      </c>
    </row>
    <row r="230" spans="1:7" ht="24" x14ac:dyDescent="0.25">
      <c r="A230" s="15" t="s">
        <v>49</v>
      </c>
      <c r="B230" s="16">
        <v>172985</v>
      </c>
      <c r="C230" s="16">
        <v>172985</v>
      </c>
      <c r="D230" s="16">
        <v>172985</v>
      </c>
      <c r="E230" s="16">
        <v>172985</v>
      </c>
      <c r="F230" s="17">
        <f t="shared" si="11"/>
        <v>1</v>
      </c>
      <c r="G230" s="17">
        <f t="shared" si="12"/>
        <v>1</v>
      </c>
    </row>
    <row r="231" spans="1:7" x14ac:dyDescent="0.25">
      <c r="A231" s="10" t="s">
        <v>160</v>
      </c>
      <c r="B231" s="11">
        <v>709726</v>
      </c>
      <c r="C231" s="11">
        <v>709726</v>
      </c>
      <c r="D231" s="11">
        <v>709726</v>
      </c>
      <c r="E231" s="11">
        <v>709726</v>
      </c>
      <c r="F231" s="12">
        <f t="shared" si="11"/>
        <v>1</v>
      </c>
      <c r="G231" s="12">
        <f t="shared" si="12"/>
        <v>1</v>
      </c>
    </row>
    <row r="232" spans="1:7" ht="24" x14ac:dyDescent="0.25">
      <c r="A232" s="15" t="s">
        <v>49</v>
      </c>
      <c r="B232" s="16">
        <v>709726</v>
      </c>
      <c r="C232" s="16">
        <v>709726</v>
      </c>
      <c r="D232" s="16">
        <v>709726</v>
      </c>
      <c r="E232" s="16">
        <v>709726</v>
      </c>
      <c r="F232" s="17">
        <f t="shared" si="11"/>
        <v>1</v>
      </c>
      <c r="G232" s="17">
        <f t="shared" si="12"/>
        <v>1</v>
      </c>
    </row>
    <row r="233" spans="1:7" x14ac:dyDescent="0.25">
      <c r="A233" s="10" t="s">
        <v>161</v>
      </c>
      <c r="B233" s="11">
        <v>1520900</v>
      </c>
      <c r="C233" s="11">
        <v>1520900</v>
      </c>
      <c r="D233" s="11">
        <v>1520900</v>
      </c>
      <c r="E233" s="11">
        <v>1520900</v>
      </c>
      <c r="F233" s="12">
        <f t="shared" si="11"/>
        <v>1</v>
      </c>
      <c r="G233" s="12">
        <f t="shared" si="12"/>
        <v>1</v>
      </c>
    </row>
    <row r="234" spans="1:7" ht="24" x14ac:dyDescent="0.25">
      <c r="A234" s="15" t="s">
        <v>49</v>
      </c>
      <c r="B234" s="16">
        <v>1520900</v>
      </c>
      <c r="C234" s="16">
        <v>1520900</v>
      </c>
      <c r="D234" s="16">
        <v>1520900</v>
      </c>
      <c r="E234" s="16">
        <v>1520900</v>
      </c>
      <c r="F234" s="17">
        <f t="shared" si="11"/>
        <v>1</v>
      </c>
      <c r="G234" s="17">
        <f t="shared" si="12"/>
        <v>1</v>
      </c>
    </row>
    <row r="235" spans="1:7" x14ac:dyDescent="0.25">
      <c r="A235" s="13" t="s">
        <v>150</v>
      </c>
      <c r="B235" s="14">
        <v>20776492</v>
      </c>
      <c r="C235" s="14">
        <v>19240439</v>
      </c>
      <c r="D235" s="14">
        <v>19240439</v>
      </c>
      <c r="E235" s="14">
        <v>19240439</v>
      </c>
      <c r="F235" s="34">
        <f t="shared" si="11"/>
        <v>1</v>
      </c>
      <c r="G235" s="34">
        <f t="shared" si="12"/>
        <v>0.9260677404058395</v>
      </c>
    </row>
    <row r="236" spans="1:7" x14ac:dyDescent="0.25">
      <c r="A236" s="15" t="s">
        <v>14</v>
      </c>
      <c r="B236" s="16">
        <v>17029912</v>
      </c>
      <c r="C236" s="16">
        <v>15770852</v>
      </c>
      <c r="D236" s="16">
        <v>15770852</v>
      </c>
      <c r="E236" s="16">
        <v>15770852</v>
      </c>
      <c r="F236" s="17">
        <f t="shared" si="11"/>
        <v>1</v>
      </c>
      <c r="G236" s="17">
        <f t="shared" si="12"/>
        <v>0.9260677330569882</v>
      </c>
    </row>
    <row r="237" spans="1:7" x14ac:dyDescent="0.25">
      <c r="A237" s="15" t="s">
        <v>15</v>
      </c>
      <c r="B237" s="16">
        <v>3746580</v>
      </c>
      <c r="C237" s="16">
        <v>3469587</v>
      </c>
      <c r="D237" s="16">
        <v>3469587</v>
      </c>
      <c r="E237" s="16">
        <v>3469587</v>
      </c>
      <c r="F237" s="17">
        <f t="shared" si="11"/>
        <v>1</v>
      </c>
      <c r="G237" s="17">
        <f t="shared" si="12"/>
        <v>0.9260677738097145</v>
      </c>
    </row>
    <row r="238" spans="1:7" ht="24" x14ac:dyDescent="0.25">
      <c r="A238" s="13" t="s">
        <v>151</v>
      </c>
      <c r="B238" s="14">
        <v>20409151</v>
      </c>
      <c r="C238" s="14">
        <v>18551491</v>
      </c>
      <c r="D238" s="14">
        <v>18551491</v>
      </c>
      <c r="E238" s="14">
        <v>18551491</v>
      </c>
      <c r="F238" s="34">
        <f t="shared" si="11"/>
        <v>1</v>
      </c>
      <c r="G238" s="34">
        <f t="shared" si="12"/>
        <v>0.90897906532221751</v>
      </c>
    </row>
    <row r="239" spans="1:7" x14ac:dyDescent="0.25">
      <c r="A239" s="15" t="s">
        <v>14</v>
      </c>
      <c r="B239" s="16">
        <v>16728812</v>
      </c>
      <c r="C239" s="16">
        <v>15206140</v>
      </c>
      <c r="D239" s="16">
        <v>15206140</v>
      </c>
      <c r="E239" s="16">
        <v>15206140</v>
      </c>
      <c r="F239" s="17">
        <f t="shared" si="11"/>
        <v>1</v>
      </c>
      <c r="G239" s="17">
        <f t="shared" si="12"/>
        <v>0.90897907155630653</v>
      </c>
    </row>
    <row r="240" spans="1:7" x14ac:dyDescent="0.25">
      <c r="A240" s="15" t="s">
        <v>15</v>
      </c>
      <c r="B240" s="16">
        <v>3680339</v>
      </c>
      <c r="C240" s="16">
        <v>3345351</v>
      </c>
      <c r="D240" s="16">
        <v>3345351</v>
      </c>
      <c r="E240" s="16">
        <v>3345351</v>
      </c>
      <c r="F240" s="17">
        <f t="shared" si="11"/>
        <v>1</v>
      </c>
      <c r="G240" s="17">
        <f t="shared" si="12"/>
        <v>0.90897903698545157</v>
      </c>
    </row>
    <row r="241" spans="1:7" ht="24" x14ac:dyDescent="0.25">
      <c r="A241" s="13" t="s">
        <v>153</v>
      </c>
      <c r="B241" s="14">
        <v>13747561</v>
      </c>
      <c r="C241" s="14">
        <v>12496247</v>
      </c>
      <c r="D241" s="14">
        <v>12496247</v>
      </c>
      <c r="E241" s="14">
        <v>12496247</v>
      </c>
      <c r="F241" s="34">
        <f t="shared" si="11"/>
        <v>1</v>
      </c>
      <c r="G241" s="34">
        <f t="shared" si="12"/>
        <v>0.90897920001955257</v>
      </c>
    </row>
    <row r="242" spans="1:7" x14ac:dyDescent="0.25">
      <c r="A242" s="15" t="s">
        <v>14</v>
      </c>
      <c r="B242" s="16">
        <v>11268494</v>
      </c>
      <c r="C242" s="16">
        <v>10242826</v>
      </c>
      <c r="D242" s="16">
        <v>10242826</v>
      </c>
      <c r="E242" s="16">
        <v>10242826</v>
      </c>
      <c r="F242" s="17">
        <f t="shared" si="11"/>
        <v>1</v>
      </c>
      <c r="G242" s="17">
        <f t="shared" si="12"/>
        <v>0.90897914131205115</v>
      </c>
    </row>
    <row r="243" spans="1:7" x14ac:dyDescent="0.25">
      <c r="A243" s="15" t="s">
        <v>15</v>
      </c>
      <c r="B243" s="16">
        <v>2479067</v>
      </c>
      <c r="C243" s="16">
        <v>2253421</v>
      </c>
      <c r="D243" s="16">
        <v>2253421</v>
      </c>
      <c r="E243" s="16">
        <v>2253421</v>
      </c>
      <c r="F243" s="17">
        <f t="shared" si="11"/>
        <v>1</v>
      </c>
      <c r="G243" s="17">
        <f t="shared" si="12"/>
        <v>0.9089794668720127</v>
      </c>
    </row>
    <row r="244" spans="1:7" x14ac:dyDescent="0.25">
      <c r="A244" s="13" t="s">
        <v>154</v>
      </c>
      <c r="B244" s="14">
        <v>22855662</v>
      </c>
      <c r="C244" s="14">
        <v>20477896</v>
      </c>
      <c r="D244" s="14">
        <v>20477896</v>
      </c>
      <c r="E244" s="14">
        <v>20477896</v>
      </c>
      <c r="F244" s="34">
        <f t="shared" si="11"/>
        <v>1</v>
      </c>
      <c r="G244" s="34">
        <f t="shared" si="12"/>
        <v>0.8959659973970564</v>
      </c>
    </row>
    <row r="245" spans="1:7" x14ac:dyDescent="0.25">
      <c r="A245" s="15" t="s">
        <v>14</v>
      </c>
      <c r="B245" s="16">
        <v>18734149</v>
      </c>
      <c r="C245" s="16">
        <v>16785161</v>
      </c>
      <c r="D245" s="16">
        <v>16785161</v>
      </c>
      <c r="E245" s="16">
        <v>16785161</v>
      </c>
      <c r="F245" s="17">
        <f t="shared" si="11"/>
        <v>1</v>
      </c>
      <c r="G245" s="17">
        <f t="shared" si="12"/>
        <v>0.89596602439747863</v>
      </c>
    </row>
    <row r="246" spans="1:7" x14ac:dyDescent="0.25">
      <c r="A246" s="15" t="s">
        <v>15</v>
      </c>
      <c r="B246" s="16">
        <v>4121513</v>
      </c>
      <c r="C246" s="16">
        <v>3692735</v>
      </c>
      <c r="D246" s="16">
        <v>3692735</v>
      </c>
      <c r="E246" s="16">
        <v>3692735</v>
      </c>
      <c r="F246" s="17">
        <f t="shared" si="11"/>
        <v>1</v>
      </c>
      <c r="G246" s="17">
        <f t="shared" si="12"/>
        <v>0.89596587466787081</v>
      </c>
    </row>
    <row r="247" spans="1:7" x14ac:dyDescent="0.25">
      <c r="A247" s="13" t="s">
        <v>162</v>
      </c>
      <c r="B247" s="14">
        <v>49551</v>
      </c>
      <c r="C247" s="14">
        <v>49551</v>
      </c>
      <c r="D247" s="14">
        <v>49551</v>
      </c>
      <c r="E247" s="14">
        <v>49551</v>
      </c>
      <c r="F247" s="34">
        <f t="shared" si="11"/>
        <v>1</v>
      </c>
      <c r="G247" s="34">
        <f t="shared" si="12"/>
        <v>1</v>
      </c>
    </row>
    <row r="248" spans="1:7" ht="24" x14ac:dyDescent="0.25">
      <c r="A248" s="15" t="s">
        <v>49</v>
      </c>
      <c r="B248" s="16">
        <v>49551</v>
      </c>
      <c r="C248" s="16">
        <v>49551</v>
      </c>
      <c r="D248" s="16">
        <v>49551</v>
      </c>
      <c r="E248" s="16">
        <v>49551</v>
      </c>
      <c r="F248" s="17">
        <f t="shared" si="11"/>
        <v>1</v>
      </c>
      <c r="G248" s="17">
        <f t="shared" si="12"/>
        <v>1</v>
      </c>
    </row>
    <row r="249" spans="1:7" ht="24" x14ac:dyDescent="0.25">
      <c r="A249" s="13" t="s">
        <v>163</v>
      </c>
      <c r="B249" s="14">
        <v>168475</v>
      </c>
      <c r="C249" s="14">
        <v>168475</v>
      </c>
      <c r="D249" s="14">
        <v>168475</v>
      </c>
      <c r="E249" s="14">
        <v>168475</v>
      </c>
      <c r="F249" s="34">
        <f t="shared" si="11"/>
        <v>1</v>
      </c>
      <c r="G249" s="34">
        <f t="shared" si="12"/>
        <v>1</v>
      </c>
    </row>
    <row r="250" spans="1:7" ht="24" x14ac:dyDescent="0.25">
      <c r="A250" s="15" t="s">
        <v>49</v>
      </c>
      <c r="B250" s="16">
        <v>168475</v>
      </c>
      <c r="C250" s="16">
        <v>168475</v>
      </c>
      <c r="D250" s="16">
        <v>168475</v>
      </c>
      <c r="E250" s="16">
        <v>168475</v>
      </c>
      <c r="F250" s="17">
        <f t="shared" si="11"/>
        <v>1</v>
      </c>
      <c r="G250" s="17">
        <f t="shared" si="12"/>
        <v>1</v>
      </c>
    </row>
    <row r="251" spans="1:7" ht="36" x14ac:dyDescent="0.25">
      <c r="A251" s="13" t="s">
        <v>164</v>
      </c>
      <c r="B251" s="14">
        <v>260992</v>
      </c>
      <c r="C251" s="14">
        <v>260992</v>
      </c>
      <c r="D251" s="14">
        <v>260992</v>
      </c>
      <c r="E251" s="14">
        <v>260992</v>
      </c>
      <c r="F251" s="34">
        <f t="shared" si="11"/>
        <v>1</v>
      </c>
      <c r="G251" s="34">
        <f t="shared" si="12"/>
        <v>1</v>
      </c>
    </row>
    <row r="252" spans="1:7" ht="24" x14ac:dyDescent="0.25">
      <c r="A252" s="15" t="s">
        <v>49</v>
      </c>
      <c r="B252" s="16">
        <v>260992</v>
      </c>
      <c r="C252" s="16">
        <v>260992</v>
      </c>
      <c r="D252" s="16">
        <v>260992</v>
      </c>
      <c r="E252" s="16">
        <v>260992</v>
      </c>
      <c r="F252" s="17">
        <f t="shared" si="11"/>
        <v>1</v>
      </c>
      <c r="G252" s="17">
        <f t="shared" si="12"/>
        <v>1</v>
      </c>
    </row>
    <row r="253" spans="1:7" ht="24" x14ac:dyDescent="0.25">
      <c r="A253" s="13" t="s">
        <v>165</v>
      </c>
      <c r="B253" s="14">
        <v>9400444</v>
      </c>
      <c r="C253" s="14">
        <v>9400444</v>
      </c>
      <c r="D253" s="14">
        <v>9400444</v>
      </c>
      <c r="E253" s="14">
        <v>9400444</v>
      </c>
      <c r="F253" s="34">
        <f t="shared" si="11"/>
        <v>1</v>
      </c>
      <c r="G253" s="34">
        <f t="shared" si="12"/>
        <v>1</v>
      </c>
    </row>
    <row r="254" spans="1:7" ht="24" x14ac:dyDescent="0.25">
      <c r="A254" s="15" t="s">
        <v>49</v>
      </c>
      <c r="B254" s="16">
        <v>9400444</v>
      </c>
      <c r="C254" s="16">
        <v>9400444</v>
      </c>
      <c r="D254" s="16">
        <v>9400444</v>
      </c>
      <c r="E254" s="16">
        <v>9400444</v>
      </c>
      <c r="F254" s="17">
        <f t="shared" si="11"/>
        <v>1</v>
      </c>
      <c r="G254" s="17">
        <f t="shared" si="12"/>
        <v>1</v>
      </c>
    </row>
    <row r="255" spans="1:7" ht="24" x14ac:dyDescent="0.25">
      <c r="A255" s="13" t="s">
        <v>166</v>
      </c>
      <c r="B255" s="14">
        <v>1154915</v>
      </c>
      <c r="C255" s="14">
        <v>1154915</v>
      </c>
      <c r="D255" s="14">
        <v>1154915</v>
      </c>
      <c r="E255" s="14">
        <v>1154915</v>
      </c>
      <c r="F255" s="34">
        <f t="shared" si="11"/>
        <v>1</v>
      </c>
      <c r="G255" s="34">
        <f t="shared" si="12"/>
        <v>1</v>
      </c>
    </row>
    <row r="256" spans="1:7" ht="24" x14ac:dyDescent="0.25">
      <c r="A256" s="15" t="s">
        <v>49</v>
      </c>
      <c r="B256" s="16">
        <v>1154915</v>
      </c>
      <c r="C256" s="16">
        <v>1154915</v>
      </c>
      <c r="D256" s="16">
        <v>1154915</v>
      </c>
      <c r="E256" s="16">
        <v>1154915</v>
      </c>
      <c r="F256" s="17">
        <f t="shared" si="11"/>
        <v>1</v>
      </c>
      <c r="G256" s="17">
        <f t="shared" si="12"/>
        <v>1</v>
      </c>
    </row>
    <row r="257" spans="1:7" ht="24" x14ac:dyDescent="0.25">
      <c r="A257" s="13" t="s">
        <v>167</v>
      </c>
      <c r="B257" s="14">
        <v>358152</v>
      </c>
      <c r="C257" s="14">
        <v>358152</v>
      </c>
      <c r="D257" s="14">
        <v>358152</v>
      </c>
      <c r="E257" s="14">
        <v>358152</v>
      </c>
      <c r="F257" s="34">
        <f t="shared" si="11"/>
        <v>1</v>
      </c>
      <c r="G257" s="34">
        <f t="shared" si="12"/>
        <v>1</v>
      </c>
    </row>
    <row r="258" spans="1:7" ht="24" x14ac:dyDescent="0.25">
      <c r="A258" s="15" t="s">
        <v>49</v>
      </c>
      <c r="B258" s="16">
        <v>358152</v>
      </c>
      <c r="C258" s="16">
        <v>358152</v>
      </c>
      <c r="D258" s="16">
        <v>358152</v>
      </c>
      <c r="E258" s="16">
        <v>358152</v>
      </c>
      <c r="F258" s="17">
        <f t="shared" si="11"/>
        <v>1</v>
      </c>
      <c r="G258" s="17">
        <f t="shared" si="12"/>
        <v>1</v>
      </c>
    </row>
    <row r="259" spans="1:7" ht="24" x14ac:dyDescent="0.25">
      <c r="A259" s="13" t="s">
        <v>168</v>
      </c>
      <c r="B259" s="14">
        <v>3509229</v>
      </c>
      <c r="C259" s="14">
        <v>3509229</v>
      </c>
      <c r="D259" s="14">
        <v>3509229</v>
      </c>
      <c r="E259" s="14">
        <v>3509229</v>
      </c>
      <c r="F259" s="34">
        <f t="shared" si="11"/>
        <v>1</v>
      </c>
      <c r="G259" s="34">
        <f t="shared" si="12"/>
        <v>1</v>
      </c>
    </row>
    <row r="260" spans="1:7" ht="24" x14ac:dyDescent="0.25">
      <c r="A260" s="15" t="s">
        <v>49</v>
      </c>
      <c r="B260" s="16">
        <v>3509229</v>
      </c>
      <c r="C260" s="16">
        <v>3509229</v>
      </c>
      <c r="D260" s="16">
        <v>3509229</v>
      </c>
      <c r="E260" s="16">
        <v>3509229</v>
      </c>
      <c r="F260" s="17">
        <f t="shared" si="11"/>
        <v>1</v>
      </c>
      <c r="G260" s="17">
        <f t="shared" si="12"/>
        <v>1</v>
      </c>
    </row>
    <row r="261" spans="1:7" ht="24" x14ac:dyDescent="0.25">
      <c r="A261" s="13" t="s">
        <v>146</v>
      </c>
      <c r="B261" s="14">
        <v>374615989</v>
      </c>
      <c r="C261" s="14">
        <v>336255786</v>
      </c>
      <c r="D261" s="14">
        <v>336255786</v>
      </c>
      <c r="E261" s="14">
        <v>336255786</v>
      </c>
      <c r="F261" s="34">
        <f t="shared" si="11"/>
        <v>1</v>
      </c>
      <c r="G261" s="34">
        <f t="shared" si="12"/>
        <v>0.89760126602604784</v>
      </c>
    </row>
    <row r="262" spans="1:7" x14ac:dyDescent="0.25">
      <c r="A262" s="15" t="s">
        <v>14</v>
      </c>
      <c r="B262" s="16">
        <v>303270480</v>
      </c>
      <c r="C262" s="16">
        <v>275619496</v>
      </c>
      <c r="D262" s="16">
        <v>275619496</v>
      </c>
      <c r="E262" s="16">
        <v>275619496</v>
      </c>
      <c r="F262" s="17">
        <f t="shared" si="11"/>
        <v>1</v>
      </c>
      <c r="G262" s="17">
        <f t="shared" si="12"/>
        <v>0.90882401742497321</v>
      </c>
    </row>
    <row r="263" spans="1:7" x14ac:dyDescent="0.25">
      <c r="A263" s="15" t="s">
        <v>15</v>
      </c>
      <c r="B263" s="16">
        <v>66719507</v>
      </c>
      <c r="C263" s="16">
        <v>60636290</v>
      </c>
      <c r="D263" s="16">
        <v>60636290</v>
      </c>
      <c r="E263" s="16">
        <v>60636290</v>
      </c>
      <c r="F263" s="17">
        <f t="shared" si="11"/>
        <v>1</v>
      </c>
      <c r="G263" s="17">
        <f t="shared" si="12"/>
        <v>0.9088240115443299</v>
      </c>
    </row>
    <row r="264" spans="1:7" ht="24" x14ac:dyDescent="0.25">
      <c r="A264" s="15" t="s">
        <v>49</v>
      </c>
      <c r="B264" s="16">
        <v>4626002</v>
      </c>
      <c r="C264" s="18"/>
      <c r="D264" s="18"/>
      <c r="E264" s="18"/>
      <c r="F264" s="17">
        <v>0</v>
      </c>
      <c r="G264" s="17">
        <f t="shared" ref="G264:G327" si="13">D264/B264</f>
        <v>0</v>
      </c>
    </row>
    <row r="265" spans="1:7" ht="60" x14ac:dyDescent="0.25">
      <c r="A265" s="10" t="s">
        <v>169</v>
      </c>
      <c r="B265" s="11">
        <v>21987031</v>
      </c>
      <c r="C265" s="11">
        <v>19985762</v>
      </c>
      <c r="D265" s="11">
        <v>19985762</v>
      </c>
      <c r="E265" s="11">
        <v>19985762</v>
      </c>
      <c r="F265" s="12">
        <f t="shared" ref="F265:F328" si="14">D265/C265</f>
        <v>1</v>
      </c>
      <c r="G265" s="12">
        <f t="shared" si="13"/>
        <v>0.90897957072967239</v>
      </c>
    </row>
    <row r="266" spans="1:7" ht="24" x14ac:dyDescent="0.25">
      <c r="A266" s="10" t="s">
        <v>146</v>
      </c>
      <c r="B266" s="11">
        <v>21987031</v>
      </c>
      <c r="C266" s="11">
        <v>19985762</v>
      </c>
      <c r="D266" s="11">
        <v>19985762</v>
      </c>
      <c r="E266" s="11">
        <v>19985762</v>
      </c>
      <c r="F266" s="12">
        <f t="shared" si="14"/>
        <v>1</v>
      </c>
      <c r="G266" s="12">
        <f t="shared" si="13"/>
        <v>0.90897957072967239</v>
      </c>
    </row>
    <row r="267" spans="1:7" x14ac:dyDescent="0.25">
      <c r="A267" s="15" t="s">
        <v>14</v>
      </c>
      <c r="B267" s="16">
        <v>18022157</v>
      </c>
      <c r="C267" s="16">
        <v>16381773</v>
      </c>
      <c r="D267" s="16">
        <v>16381773</v>
      </c>
      <c r="E267" s="16">
        <v>16381773</v>
      </c>
      <c r="F267" s="17">
        <f t="shared" si="14"/>
        <v>1</v>
      </c>
      <c r="G267" s="17">
        <f t="shared" si="13"/>
        <v>0.90897959661543293</v>
      </c>
    </row>
    <row r="268" spans="1:7" x14ac:dyDescent="0.25">
      <c r="A268" s="15" t="s">
        <v>15</v>
      </c>
      <c r="B268" s="16">
        <v>3964874</v>
      </c>
      <c r="C268" s="16">
        <v>3603989</v>
      </c>
      <c r="D268" s="16">
        <v>3603989</v>
      </c>
      <c r="E268" s="16">
        <v>3603989</v>
      </c>
      <c r="F268" s="17">
        <f t="shared" si="14"/>
        <v>1</v>
      </c>
      <c r="G268" s="17">
        <f t="shared" si="13"/>
        <v>0.90897945306710881</v>
      </c>
    </row>
    <row r="269" spans="1:7" ht="36" x14ac:dyDescent="0.25">
      <c r="A269" s="10" t="s">
        <v>170</v>
      </c>
      <c r="B269" s="11">
        <v>14308474</v>
      </c>
      <c r="C269" s="11">
        <v>13006112</v>
      </c>
      <c r="D269" s="11">
        <v>13006112</v>
      </c>
      <c r="E269" s="11">
        <v>13006112</v>
      </c>
      <c r="F269" s="12">
        <f t="shared" si="14"/>
        <v>1</v>
      </c>
      <c r="G269" s="12">
        <f t="shared" si="13"/>
        <v>0.90897967176653505</v>
      </c>
    </row>
    <row r="270" spans="1:7" ht="24" x14ac:dyDescent="0.25">
      <c r="A270" s="13" t="s">
        <v>157</v>
      </c>
      <c r="B270" s="14">
        <v>7099301</v>
      </c>
      <c r="C270" s="14">
        <v>6453120</v>
      </c>
      <c r="D270" s="14">
        <v>6453120</v>
      </c>
      <c r="E270" s="14">
        <v>6453120</v>
      </c>
      <c r="F270" s="34">
        <f t="shared" si="14"/>
        <v>1</v>
      </c>
      <c r="G270" s="34">
        <f t="shared" si="13"/>
        <v>0.90897963052982256</v>
      </c>
    </row>
    <row r="271" spans="1:7" x14ac:dyDescent="0.25">
      <c r="A271" s="15" t="s">
        <v>14</v>
      </c>
      <c r="B271" s="16">
        <v>5819099</v>
      </c>
      <c r="C271" s="16">
        <v>5289443</v>
      </c>
      <c r="D271" s="16">
        <v>5289443</v>
      </c>
      <c r="E271" s="16">
        <v>5289443</v>
      </c>
      <c r="F271" s="17">
        <f t="shared" si="14"/>
        <v>1</v>
      </c>
      <c r="G271" s="17">
        <f t="shared" si="13"/>
        <v>0.90897972349327616</v>
      </c>
    </row>
    <row r="272" spans="1:7" x14ac:dyDescent="0.25">
      <c r="A272" s="15" t="s">
        <v>15</v>
      </c>
      <c r="B272" s="16">
        <v>1280202</v>
      </c>
      <c r="C272" s="16">
        <v>1163677</v>
      </c>
      <c r="D272" s="16">
        <v>1163677</v>
      </c>
      <c r="E272" s="16">
        <v>1163677</v>
      </c>
      <c r="F272" s="17">
        <f t="shared" si="14"/>
        <v>1</v>
      </c>
      <c r="G272" s="17">
        <f t="shared" si="13"/>
        <v>0.90897920796874243</v>
      </c>
    </row>
    <row r="273" spans="1:7" ht="24" x14ac:dyDescent="0.25">
      <c r="A273" s="13" t="s">
        <v>146</v>
      </c>
      <c r="B273" s="14">
        <v>7209173</v>
      </c>
      <c r="C273" s="14">
        <v>6552992</v>
      </c>
      <c r="D273" s="14">
        <v>6552992</v>
      </c>
      <c r="E273" s="14">
        <v>6552992</v>
      </c>
      <c r="F273" s="34">
        <f t="shared" si="14"/>
        <v>1</v>
      </c>
      <c r="G273" s="34">
        <f t="shared" si="13"/>
        <v>0.90897971237477582</v>
      </c>
    </row>
    <row r="274" spans="1:7" x14ac:dyDescent="0.25">
      <c r="A274" s="15" t="s">
        <v>14</v>
      </c>
      <c r="B274" s="16">
        <v>5909158</v>
      </c>
      <c r="C274" s="16">
        <v>5371305</v>
      </c>
      <c r="D274" s="16">
        <v>5371305</v>
      </c>
      <c r="E274" s="16">
        <v>5371305</v>
      </c>
      <c r="F274" s="17">
        <f t="shared" si="14"/>
        <v>1</v>
      </c>
      <c r="G274" s="17">
        <f t="shared" si="13"/>
        <v>0.90897975650676455</v>
      </c>
    </row>
    <row r="275" spans="1:7" x14ac:dyDescent="0.25">
      <c r="A275" s="15" t="s">
        <v>15</v>
      </c>
      <c r="B275" s="16">
        <v>1300015</v>
      </c>
      <c r="C275" s="16">
        <v>1181687</v>
      </c>
      <c r="D275" s="16">
        <v>1181687</v>
      </c>
      <c r="E275" s="16">
        <v>1181687</v>
      </c>
      <c r="F275" s="17">
        <f t="shared" si="14"/>
        <v>1</v>
      </c>
      <c r="G275" s="17">
        <f t="shared" si="13"/>
        <v>0.90897951177486414</v>
      </c>
    </row>
    <row r="276" spans="1:7" ht="24" x14ac:dyDescent="0.25">
      <c r="A276" s="10" t="s">
        <v>171</v>
      </c>
      <c r="B276" s="11">
        <v>104221366</v>
      </c>
      <c r="C276" s="11">
        <f>C277+C280+C283+C293+C303</f>
        <v>60462513</v>
      </c>
      <c r="D276" s="11">
        <v>44593321.93</v>
      </c>
      <c r="E276" s="11">
        <v>44593321.93</v>
      </c>
      <c r="F276" s="12">
        <f t="shared" si="14"/>
        <v>0.73753669368654917</v>
      </c>
      <c r="G276" s="12">
        <f t="shared" si="13"/>
        <v>0.42787120953682378</v>
      </c>
    </row>
    <row r="277" spans="1:7" x14ac:dyDescent="0.25">
      <c r="A277" s="13" t="s">
        <v>150</v>
      </c>
      <c r="B277" s="14">
        <v>3428304</v>
      </c>
      <c r="C277" s="14">
        <v>2028720</v>
      </c>
      <c r="D277" s="14">
        <v>1851366.27</v>
      </c>
      <c r="E277" s="14">
        <v>1851366.27</v>
      </c>
      <c r="F277" s="34">
        <f t="shared" si="14"/>
        <v>0.91257850763042703</v>
      </c>
      <c r="G277" s="34">
        <f t="shared" si="13"/>
        <v>0.54002395061814823</v>
      </c>
    </row>
    <row r="278" spans="1:7" x14ac:dyDescent="0.25">
      <c r="A278" s="15" t="s">
        <v>14</v>
      </c>
      <c r="B278" s="16">
        <v>2810085</v>
      </c>
      <c r="C278" s="16">
        <v>1662885</v>
      </c>
      <c r="D278" s="16">
        <v>1518401.91</v>
      </c>
      <c r="E278" s="16">
        <v>1518401.91</v>
      </c>
      <c r="F278" s="17">
        <f t="shared" si="14"/>
        <v>0.91311299939562862</v>
      </c>
      <c r="G278" s="17">
        <f t="shared" si="13"/>
        <v>0.54034020679089778</v>
      </c>
    </row>
    <row r="279" spans="1:7" x14ac:dyDescent="0.25">
      <c r="A279" s="15" t="s">
        <v>15</v>
      </c>
      <c r="B279" s="16">
        <v>618219</v>
      </c>
      <c r="C279" s="16">
        <v>365835</v>
      </c>
      <c r="D279" s="16">
        <v>332964.36</v>
      </c>
      <c r="E279" s="16">
        <v>332964.36</v>
      </c>
      <c r="F279" s="17">
        <f t="shared" si="14"/>
        <v>0.91014900159908152</v>
      </c>
      <c r="G279" s="17">
        <f t="shared" si="13"/>
        <v>0.53858642325777761</v>
      </c>
    </row>
    <row r="280" spans="1:7" ht="24" x14ac:dyDescent="0.25">
      <c r="A280" s="13" t="s">
        <v>151</v>
      </c>
      <c r="B280" s="14">
        <v>3394815</v>
      </c>
      <c r="C280" s="14">
        <v>1380351</v>
      </c>
      <c r="D280" s="14">
        <v>1019158.56</v>
      </c>
      <c r="E280" s="14">
        <v>1019158.56</v>
      </c>
      <c r="F280" s="34">
        <f t="shared" si="14"/>
        <v>0.73833290228354964</v>
      </c>
      <c r="G280" s="34">
        <f t="shared" si="13"/>
        <v>0.30021033841313888</v>
      </c>
    </row>
    <row r="281" spans="1:7" x14ac:dyDescent="0.25">
      <c r="A281" s="15" t="s">
        <v>14</v>
      </c>
      <c r="B281" s="16">
        <v>2782635</v>
      </c>
      <c r="C281" s="16">
        <v>1131435</v>
      </c>
      <c r="D281" s="16">
        <v>836895.43</v>
      </c>
      <c r="E281" s="16">
        <v>836895.43</v>
      </c>
      <c r="F281" s="17">
        <f t="shared" si="14"/>
        <v>0.73967610158780672</v>
      </c>
      <c r="G281" s="17">
        <f t="shared" si="13"/>
        <v>0.30075645206791407</v>
      </c>
    </row>
    <row r="282" spans="1:7" x14ac:dyDescent="0.25">
      <c r="A282" s="15" t="s">
        <v>15</v>
      </c>
      <c r="B282" s="16">
        <v>612180</v>
      </c>
      <c r="C282" s="16">
        <v>248916</v>
      </c>
      <c r="D282" s="16">
        <v>182263.13</v>
      </c>
      <c r="E282" s="16">
        <v>182263.13</v>
      </c>
      <c r="F282" s="17">
        <f t="shared" si="14"/>
        <v>0.73222745825901114</v>
      </c>
      <c r="G282" s="17">
        <f t="shared" si="13"/>
        <v>0.29772800483517919</v>
      </c>
    </row>
    <row r="283" spans="1:7" ht="24" x14ac:dyDescent="0.25">
      <c r="A283" s="13" t="s">
        <v>157</v>
      </c>
      <c r="B283" s="14">
        <v>30196674</v>
      </c>
      <c r="C283" s="14">
        <v>19168347</v>
      </c>
      <c r="D283" s="14">
        <v>15112444.880000001</v>
      </c>
      <c r="E283" s="14">
        <v>15112444.880000001</v>
      </c>
      <c r="F283" s="34">
        <f t="shared" si="14"/>
        <v>0.78840626580894013</v>
      </c>
      <c r="G283" s="34">
        <f t="shared" si="13"/>
        <v>0.50046719979822951</v>
      </c>
    </row>
    <row r="284" spans="1:7" x14ac:dyDescent="0.25">
      <c r="A284" s="15" t="s">
        <v>14</v>
      </c>
      <c r="B284" s="16">
        <v>19992400</v>
      </c>
      <c r="C284" s="16">
        <v>11646800</v>
      </c>
      <c r="D284" s="16">
        <v>11616779.73</v>
      </c>
      <c r="E284" s="16">
        <v>11616779.73</v>
      </c>
      <c r="F284" s="17">
        <f t="shared" si="14"/>
        <v>0.9974224447917025</v>
      </c>
      <c r="G284" s="17">
        <f t="shared" si="13"/>
        <v>0.58105978921990353</v>
      </c>
    </row>
    <row r="285" spans="1:7" x14ac:dyDescent="0.25">
      <c r="A285" s="15" t="s">
        <v>15</v>
      </c>
      <c r="B285" s="16">
        <v>4398328</v>
      </c>
      <c r="C285" s="16">
        <v>2562296</v>
      </c>
      <c r="D285" s="16">
        <v>2553424.34</v>
      </c>
      <c r="E285" s="16">
        <v>2553424.34</v>
      </c>
      <c r="F285" s="17">
        <f t="shared" si="14"/>
        <v>0.99653761314071432</v>
      </c>
      <c r="G285" s="17">
        <f t="shared" si="13"/>
        <v>0.5805443204781453</v>
      </c>
    </row>
    <row r="286" spans="1:7" x14ac:dyDescent="0.25">
      <c r="A286" s="15" t="s">
        <v>16</v>
      </c>
      <c r="B286" s="16">
        <v>1700000</v>
      </c>
      <c r="C286" s="16">
        <v>1700000</v>
      </c>
      <c r="D286" s="16">
        <v>435403.4</v>
      </c>
      <c r="E286" s="16">
        <v>435403.4</v>
      </c>
      <c r="F286" s="17">
        <f t="shared" si="14"/>
        <v>0.25611964705882356</v>
      </c>
      <c r="G286" s="17">
        <f t="shared" si="13"/>
        <v>0.25611964705882356</v>
      </c>
    </row>
    <row r="287" spans="1:7" x14ac:dyDescent="0.25">
      <c r="A287" s="15" t="s">
        <v>17</v>
      </c>
      <c r="B287" s="16">
        <v>3200000</v>
      </c>
      <c r="C287" s="16">
        <v>2800000</v>
      </c>
      <c r="D287" s="16">
        <v>188955.93</v>
      </c>
      <c r="E287" s="16">
        <v>188955.93</v>
      </c>
      <c r="F287" s="17">
        <f t="shared" si="14"/>
        <v>6.7484260714285718E-2</v>
      </c>
      <c r="G287" s="17">
        <f t="shared" si="13"/>
        <v>5.9048728124999998E-2</v>
      </c>
    </row>
    <row r="288" spans="1:7" x14ac:dyDescent="0.25">
      <c r="A288" s="15" t="s">
        <v>18</v>
      </c>
      <c r="B288" s="16">
        <v>449051</v>
      </c>
      <c r="C288" s="16">
        <v>231866</v>
      </c>
      <c r="D288" s="16">
        <v>167141.79999999999</v>
      </c>
      <c r="E288" s="16">
        <v>167141.79999999999</v>
      </c>
      <c r="F288" s="17">
        <f t="shared" si="14"/>
        <v>0.72085514909473569</v>
      </c>
      <c r="G288" s="17">
        <f t="shared" si="13"/>
        <v>0.3722111742318801</v>
      </c>
    </row>
    <row r="289" spans="1:7" x14ac:dyDescent="0.25">
      <c r="A289" s="15" t="s">
        <v>19</v>
      </c>
      <c r="B289" s="16">
        <v>27246</v>
      </c>
      <c r="C289" s="16">
        <v>15743</v>
      </c>
      <c r="D289" s="16">
        <v>15742.37</v>
      </c>
      <c r="E289" s="16">
        <v>15742.37</v>
      </c>
      <c r="F289" s="17">
        <f t="shared" si="14"/>
        <v>0.99995998221431748</v>
      </c>
      <c r="G289" s="17">
        <f t="shared" si="13"/>
        <v>0.57778646406812018</v>
      </c>
    </row>
    <row r="290" spans="1:7" x14ac:dyDescent="0.25">
      <c r="A290" s="15" t="s">
        <v>20</v>
      </c>
      <c r="B290" s="16">
        <v>403830</v>
      </c>
      <c r="C290" s="16">
        <v>197230</v>
      </c>
      <c r="D290" s="16">
        <v>126956.16</v>
      </c>
      <c r="E290" s="16">
        <v>126956.16</v>
      </c>
      <c r="F290" s="17">
        <f t="shared" si="14"/>
        <v>0.64369598945393702</v>
      </c>
      <c r="G290" s="17">
        <f t="shared" si="13"/>
        <v>0.31438020949409407</v>
      </c>
    </row>
    <row r="291" spans="1:7" x14ac:dyDescent="0.25">
      <c r="A291" s="15" t="s">
        <v>32</v>
      </c>
      <c r="B291" s="16">
        <v>22819</v>
      </c>
      <c r="C291" s="16">
        <v>11412</v>
      </c>
      <c r="D291" s="16">
        <v>8041.15</v>
      </c>
      <c r="E291" s="16">
        <v>8041.15</v>
      </c>
      <c r="F291" s="17">
        <f t="shared" si="14"/>
        <v>0.70462232737469332</v>
      </c>
      <c r="G291" s="17">
        <f t="shared" si="13"/>
        <v>0.35238836057671236</v>
      </c>
    </row>
    <row r="292" spans="1:7" ht="24" x14ac:dyDescent="0.25">
      <c r="A292" s="15" t="s">
        <v>21</v>
      </c>
      <c r="B292" s="16">
        <v>3000</v>
      </c>
      <c r="C292" s="16">
        <v>3000</v>
      </c>
      <c r="D292" s="18"/>
      <c r="E292" s="18"/>
      <c r="F292" s="12">
        <f t="shared" si="14"/>
        <v>0</v>
      </c>
      <c r="G292" s="12">
        <f t="shared" si="13"/>
        <v>0</v>
      </c>
    </row>
    <row r="293" spans="1:7" ht="24" x14ac:dyDescent="0.25">
      <c r="A293" s="13" t="s">
        <v>172</v>
      </c>
      <c r="B293" s="14">
        <v>16576015</v>
      </c>
      <c r="C293" s="14">
        <v>10327559</v>
      </c>
      <c r="D293" s="14">
        <v>8281118.7800000003</v>
      </c>
      <c r="E293" s="14">
        <v>8281118.7800000003</v>
      </c>
      <c r="F293" s="34">
        <f t="shared" si="14"/>
        <v>0.80184666870457966</v>
      </c>
      <c r="G293" s="34">
        <f t="shared" si="13"/>
        <v>0.49958441639923712</v>
      </c>
    </row>
    <row r="294" spans="1:7" x14ac:dyDescent="0.25">
      <c r="A294" s="15" t="s">
        <v>14</v>
      </c>
      <c r="B294" s="16">
        <v>9727144</v>
      </c>
      <c r="C294" s="16">
        <v>5617144</v>
      </c>
      <c r="D294" s="16">
        <v>5612413.71</v>
      </c>
      <c r="E294" s="16">
        <v>5612413.71</v>
      </c>
      <c r="F294" s="17">
        <f t="shared" si="14"/>
        <v>0.99915788343684975</v>
      </c>
      <c r="G294" s="17">
        <f t="shared" si="13"/>
        <v>0.57698474598504967</v>
      </c>
    </row>
    <row r="295" spans="1:7" x14ac:dyDescent="0.25">
      <c r="A295" s="15" t="s">
        <v>15</v>
      </c>
      <c r="B295" s="16">
        <v>2138772</v>
      </c>
      <c r="C295" s="16">
        <v>1234572</v>
      </c>
      <c r="D295" s="16">
        <v>1226444.82</v>
      </c>
      <c r="E295" s="16">
        <v>1226444.82</v>
      </c>
      <c r="F295" s="17">
        <f t="shared" si="14"/>
        <v>0.99341700605553995</v>
      </c>
      <c r="G295" s="17">
        <f t="shared" si="13"/>
        <v>0.57343411078880779</v>
      </c>
    </row>
    <row r="296" spans="1:7" x14ac:dyDescent="0.25">
      <c r="A296" s="15" t="s">
        <v>16</v>
      </c>
      <c r="B296" s="16">
        <v>900000</v>
      </c>
      <c r="C296" s="16">
        <v>900000</v>
      </c>
      <c r="D296" s="16">
        <v>611889.53</v>
      </c>
      <c r="E296" s="16">
        <v>611889.53</v>
      </c>
      <c r="F296" s="17">
        <f t="shared" si="14"/>
        <v>0.67987725555555556</v>
      </c>
      <c r="G296" s="17">
        <f t="shared" si="13"/>
        <v>0.67987725555555556</v>
      </c>
    </row>
    <row r="297" spans="1:7" x14ac:dyDescent="0.25">
      <c r="A297" s="15" t="s">
        <v>17</v>
      </c>
      <c r="B297" s="16">
        <v>1927000</v>
      </c>
      <c r="C297" s="16">
        <v>1567000</v>
      </c>
      <c r="D297" s="16">
        <v>120472.86</v>
      </c>
      <c r="E297" s="16">
        <v>120472.86</v>
      </c>
      <c r="F297" s="17">
        <f t="shared" si="14"/>
        <v>7.6881212507977026E-2</v>
      </c>
      <c r="G297" s="17">
        <f t="shared" si="13"/>
        <v>6.2518349766476383E-2</v>
      </c>
    </row>
    <row r="298" spans="1:7" x14ac:dyDescent="0.25">
      <c r="A298" s="15" t="s">
        <v>18</v>
      </c>
      <c r="B298" s="16">
        <v>1163427</v>
      </c>
      <c r="C298" s="16">
        <v>646741</v>
      </c>
      <c r="D298" s="16">
        <v>544348.63</v>
      </c>
      <c r="E298" s="16">
        <v>544348.63</v>
      </c>
      <c r="F298" s="17">
        <f t="shared" si="14"/>
        <v>0.8416794822038498</v>
      </c>
      <c r="G298" s="17">
        <f t="shared" si="13"/>
        <v>0.46788378643438738</v>
      </c>
    </row>
    <row r="299" spans="1:7" x14ac:dyDescent="0.25">
      <c r="A299" s="15" t="s">
        <v>19</v>
      </c>
      <c r="B299" s="16">
        <v>72699</v>
      </c>
      <c r="C299" s="16">
        <v>36203</v>
      </c>
      <c r="D299" s="16">
        <v>26397.03</v>
      </c>
      <c r="E299" s="16">
        <v>26397.03</v>
      </c>
      <c r="F299" s="17">
        <f t="shared" si="14"/>
        <v>0.72913929784824461</v>
      </c>
      <c r="G299" s="17">
        <f t="shared" si="13"/>
        <v>0.36310031774852475</v>
      </c>
    </row>
    <row r="300" spans="1:7" x14ac:dyDescent="0.25">
      <c r="A300" s="15" t="s">
        <v>20</v>
      </c>
      <c r="B300" s="16">
        <v>613973</v>
      </c>
      <c r="C300" s="16">
        <v>307899</v>
      </c>
      <c r="D300" s="16">
        <v>125953.35</v>
      </c>
      <c r="E300" s="16">
        <v>125953.35</v>
      </c>
      <c r="F300" s="17">
        <f t="shared" si="14"/>
        <v>0.40907359231436285</v>
      </c>
      <c r="G300" s="17">
        <f t="shared" si="13"/>
        <v>0.20514477020976493</v>
      </c>
    </row>
    <row r="301" spans="1:7" x14ac:dyDescent="0.25">
      <c r="A301" s="15" t="s">
        <v>32</v>
      </c>
      <c r="B301" s="16">
        <v>30000</v>
      </c>
      <c r="C301" s="16">
        <v>15000</v>
      </c>
      <c r="D301" s="16">
        <v>11598.85</v>
      </c>
      <c r="E301" s="16">
        <v>11598.85</v>
      </c>
      <c r="F301" s="17">
        <f t="shared" si="14"/>
        <v>0.7732566666666667</v>
      </c>
      <c r="G301" s="17">
        <f t="shared" si="13"/>
        <v>0.38662833333333335</v>
      </c>
    </row>
    <row r="302" spans="1:7" ht="24" x14ac:dyDescent="0.25">
      <c r="A302" s="15" t="s">
        <v>21</v>
      </c>
      <c r="B302" s="16">
        <v>3000</v>
      </c>
      <c r="C302" s="16">
        <v>3000</v>
      </c>
      <c r="D302" s="16">
        <v>1600</v>
      </c>
      <c r="E302" s="16">
        <v>1600</v>
      </c>
      <c r="F302" s="17">
        <f t="shared" si="14"/>
        <v>0.53333333333333333</v>
      </c>
      <c r="G302" s="17">
        <f t="shared" si="13"/>
        <v>0.53333333333333333</v>
      </c>
    </row>
    <row r="303" spans="1:7" ht="24" x14ac:dyDescent="0.25">
      <c r="A303" s="13" t="s">
        <v>146</v>
      </c>
      <c r="B303" s="14">
        <v>50625558</v>
      </c>
      <c r="C303" s="11">
        <f>SUM(C304:C312)</f>
        <v>27557536</v>
      </c>
      <c r="D303" s="14">
        <v>18329233.440000001</v>
      </c>
      <c r="E303" s="14">
        <v>18329233.440000001</v>
      </c>
      <c r="F303" s="34">
        <f t="shared" si="14"/>
        <v>0.66512599094490887</v>
      </c>
      <c r="G303" s="34">
        <f t="shared" si="13"/>
        <v>0.36205494149812634</v>
      </c>
    </row>
    <row r="304" spans="1:7" x14ac:dyDescent="0.25">
      <c r="A304" s="15" t="s">
        <v>14</v>
      </c>
      <c r="B304" s="16">
        <v>29485014</v>
      </c>
      <c r="C304" s="16">
        <f>34028478-C278-C281-C284-C294</f>
        <v>13970214</v>
      </c>
      <c r="D304" s="16">
        <v>13757688.6</v>
      </c>
      <c r="E304" s="16">
        <v>13757688.6</v>
      </c>
      <c r="F304" s="17">
        <f t="shared" si="14"/>
        <v>0.98478724806935669</v>
      </c>
      <c r="G304" s="17">
        <f t="shared" si="13"/>
        <v>0.46659935789754076</v>
      </c>
    </row>
    <row r="305" spans="1:7" x14ac:dyDescent="0.25">
      <c r="A305" s="15" t="s">
        <v>15</v>
      </c>
      <c r="B305" s="16">
        <v>6487901</v>
      </c>
      <c r="C305" s="16">
        <f>7504508-C279-C282-C285-C295</f>
        <v>3092889</v>
      </c>
      <c r="D305" s="16">
        <v>3035505.36</v>
      </c>
      <c r="E305" s="16">
        <v>3035505.36</v>
      </c>
      <c r="F305" s="17">
        <f t="shared" si="14"/>
        <v>0.98144658925684036</v>
      </c>
      <c r="G305" s="17">
        <f t="shared" si="13"/>
        <v>0.46787171382547299</v>
      </c>
    </row>
    <row r="306" spans="1:7" x14ac:dyDescent="0.25">
      <c r="A306" s="15" t="s">
        <v>16</v>
      </c>
      <c r="B306" s="16">
        <v>4376000</v>
      </c>
      <c r="C306" s="16">
        <f>6976000-C286-C296</f>
        <v>4376000</v>
      </c>
      <c r="D306" s="16">
        <v>41482.58</v>
      </c>
      <c r="E306" s="16">
        <v>41482.58</v>
      </c>
      <c r="F306" s="17">
        <f t="shared" si="14"/>
        <v>9.4795658135283373E-3</v>
      </c>
      <c r="G306" s="17">
        <f t="shared" si="13"/>
        <v>9.4795658135283373E-3</v>
      </c>
    </row>
    <row r="307" spans="1:7" x14ac:dyDescent="0.25">
      <c r="A307" s="15" t="s">
        <v>17</v>
      </c>
      <c r="B307" s="16">
        <v>7182000</v>
      </c>
      <c r="C307" s="16">
        <f>8567000-C287-C297</f>
        <v>4200000</v>
      </c>
      <c r="D307" s="16">
        <v>53218.12</v>
      </c>
      <c r="E307" s="16">
        <v>53218.12</v>
      </c>
      <c r="F307" s="17">
        <f t="shared" si="14"/>
        <v>1.2670980952380954E-2</v>
      </c>
      <c r="G307" s="17">
        <f t="shared" si="13"/>
        <v>7.4099303815093297E-3</v>
      </c>
    </row>
    <row r="308" spans="1:7" x14ac:dyDescent="0.25">
      <c r="A308" s="15" t="s">
        <v>18</v>
      </c>
      <c r="B308" s="16">
        <v>2549907</v>
      </c>
      <c r="C308" s="16">
        <f>2471583-C288-C298</f>
        <v>1592976</v>
      </c>
      <c r="D308" s="16">
        <v>1236424.83</v>
      </c>
      <c r="E308" s="16">
        <v>1236424.83</v>
      </c>
      <c r="F308" s="17">
        <f t="shared" si="14"/>
        <v>0.77617291785940279</v>
      </c>
      <c r="G308" s="17">
        <f t="shared" si="13"/>
        <v>0.48489016658254597</v>
      </c>
    </row>
    <row r="309" spans="1:7" x14ac:dyDescent="0.25">
      <c r="A309" s="15" t="s">
        <v>19</v>
      </c>
      <c r="B309" s="16">
        <v>84654</v>
      </c>
      <c r="C309" s="16">
        <f>90579-C289-C299</f>
        <v>38633</v>
      </c>
      <c r="D309" s="16">
        <v>35597.47</v>
      </c>
      <c r="E309" s="16">
        <v>35597.47</v>
      </c>
      <c r="F309" s="17">
        <f t="shared" si="14"/>
        <v>0.92142650066005749</v>
      </c>
      <c r="G309" s="17">
        <f t="shared" si="13"/>
        <v>0.42050546932218208</v>
      </c>
    </row>
    <row r="310" spans="1:7" x14ac:dyDescent="0.25">
      <c r="A310" s="15" t="s">
        <v>20</v>
      </c>
      <c r="B310" s="16">
        <v>376290</v>
      </c>
      <c r="C310" s="16">
        <f>741429-C300-C290</f>
        <v>236300</v>
      </c>
      <c r="D310" s="16">
        <v>149058.85999999999</v>
      </c>
      <c r="E310" s="16">
        <v>149058.85999999999</v>
      </c>
      <c r="F310" s="17">
        <f t="shared" si="14"/>
        <v>0.63080347016504434</v>
      </c>
      <c r="G310" s="17">
        <f t="shared" si="13"/>
        <v>0.39612761434000371</v>
      </c>
    </row>
    <row r="311" spans="1:7" x14ac:dyDescent="0.25">
      <c r="A311" s="15" t="s">
        <v>32</v>
      </c>
      <c r="B311" s="16">
        <v>71792</v>
      </c>
      <c r="C311" s="16">
        <f>64936-C301-C291</f>
        <v>38524</v>
      </c>
      <c r="D311" s="16">
        <v>18757.62</v>
      </c>
      <c r="E311" s="16">
        <v>18757.62</v>
      </c>
      <c r="F311" s="17">
        <f t="shared" si="14"/>
        <v>0.48690738241096454</v>
      </c>
      <c r="G311" s="17">
        <f t="shared" si="13"/>
        <v>0.26127730109204367</v>
      </c>
    </row>
    <row r="312" spans="1:7" ht="24" x14ac:dyDescent="0.25">
      <c r="A312" s="15" t="s">
        <v>21</v>
      </c>
      <c r="B312" s="16">
        <v>12000</v>
      </c>
      <c r="C312" s="16">
        <f>18000-C292-C302</f>
        <v>12000</v>
      </c>
      <c r="D312" s="16">
        <v>1500</v>
      </c>
      <c r="E312" s="16">
        <v>1500</v>
      </c>
      <c r="F312" s="17">
        <f t="shared" si="14"/>
        <v>0.125</v>
      </c>
      <c r="G312" s="17">
        <f t="shared" si="13"/>
        <v>0.125</v>
      </c>
    </row>
    <row r="313" spans="1:7" x14ac:dyDescent="0.25">
      <c r="A313" s="10" t="s">
        <v>173</v>
      </c>
      <c r="B313" s="11">
        <v>145654408</v>
      </c>
      <c r="C313" s="11">
        <f>C314+C323</f>
        <v>89819064</v>
      </c>
      <c r="D313" s="11">
        <f t="shared" ref="D313:E313" si="15">D314+D323</f>
        <v>84258447.960000008</v>
      </c>
      <c r="E313" s="11">
        <f t="shared" si="15"/>
        <v>84258447.960000008</v>
      </c>
      <c r="F313" s="12">
        <f t="shared" si="14"/>
        <v>0.93809091530947164</v>
      </c>
      <c r="G313" s="12">
        <f t="shared" si="13"/>
        <v>0.57848196369038152</v>
      </c>
    </row>
    <row r="314" spans="1:7" ht="24" x14ac:dyDescent="0.25">
      <c r="A314" s="13" t="s">
        <v>139</v>
      </c>
      <c r="B314" s="14">
        <v>108084000</v>
      </c>
      <c r="C314" s="11">
        <f>SUM(C315:C322)</f>
        <v>66621123</v>
      </c>
      <c r="D314" s="14">
        <v>62630457.880000003</v>
      </c>
      <c r="E314" s="14">
        <v>62630457.880000003</v>
      </c>
      <c r="F314" s="34">
        <f t="shared" si="14"/>
        <v>0.94009910160175481</v>
      </c>
      <c r="G314" s="34">
        <f t="shared" si="13"/>
        <v>0.57946095518300589</v>
      </c>
    </row>
    <row r="315" spans="1:7" x14ac:dyDescent="0.25">
      <c r="A315" s="15" t="s">
        <v>14</v>
      </c>
      <c r="B315" s="16">
        <v>81330537</v>
      </c>
      <c r="C315" s="16">
        <f>66863892-C324</f>
        <v>49652226</v>
      </c>
      <c r="D315" s="16">
        <v>49651114.270000003</v>
      </c>
      <c r="E315" s="16">
        <v>49651114.270000003</v>
      </c>
      <c r="F315" s="17">
        <f t="shared" si="14"/>
        <v>0.99997760966446914</v>
      </c>
      <c r="G315" s="17">
        <f t="shared" si="13"/>
        <v>0.61048550890546815</v>
      </c>
    </row>
    <row r="316" spans="1:7" x14ac:dyDescent="0.25">
      <c r="A316" s="15" t="s">
        <v>15</v>
      </c>
      <c r="B316" s="16">
        <v>17892738</v>
      </c>
      <c r="C316" s="16">
        <f>14712604-C325</f>
        <v>10932506</v>
      </c>
      <c r="D316" s="16">
        <v>10827134.67</v>
      </c>
      <c r="E316" s="16">
        <v>10827134.67</v>
      </c>
      <c r="F316" s="17">
        <f t="shared" si="14"/>
        <v>0.99036164901258683</v>
      </c>
      <c r="G316" s="17">
        <f t="shared" si="13"/>
        <v>0.60511335213202133</v>
      </c>
    </row>
    <row r="317" spans="1:7" x14ac:dyDescent="0.25">
      <c r="A317" s="15" t="s">
        <v>16</v>
      </c>
      <c r="B317" s="16">
        <v>1000000</v>
      </c>
      <c r="C317" s="16">
        <f>1100000-C326</f>
        <v>1000000</v>
      </c>
      <c r="D317" s="16">
        <v>671568.8</v>
      </c>
      <c r="E317" s="16">
        <v>671568.8</v>
      </c>
      <c r="F317" s="17">
        <f t="shared" si="14"/>
        <v>0.67156880000000008</v>
      </c>
      <c r="G317" s="17">
        <f t="shared" si="13"/>
        <v>0.67156880000000008</v>
      </c>
    </row>
    <row r="318" spans="1:7" x14ac:dyDescent="0.25">
      <c r="A318" s="15" t="s">
        <v>17</v>
      </c>
      <c r="B318" s="16">
        <v>4480580</v>
      </c>
      <c r="C318" s="16">
        <f>4625000-C327</f>
        <v>3166000</v>
      </c>
      <c r="D318" s="16">
        <v>518639.79</v>
      </c>
      <c r="E318" s="16">
        <v>518639.79</v>
      </c>
      <c r="F318" s="17">
        <f t="shared" si="14"/>
        <v>0.1638154737839545</v>
      </c>
      <c r="G318" s="17">
        <f t="shared" si="13"/>
        <v>0.11575282441112535</v>
      </c>
    </row>
    <row r="319" spans="1:7" x14ac:dyDescent="0.25">
      <c r="A319" s="15" t="s">
        <v>18</v>
      </c>
      <c r="B319" s="16">
        <v>2627159</v>
      </c>
      <c r="C319" s="16">
        <f>1945415-C328</f>
        <v>1501447</v>
      </c>
      <c r="D319" s="16">
        <v>754591.36</v>
      </c>
      <c r="E319" s="16">
        <v>754591.36</v>
      </c>
      <c r="F319" s="17">
        <f t="shared" si="14"/>
        <v>0.50257608826685185</v>
      </c>
      <c r="G319" s="17">
        <f t="shared" si="13"/>
        <v>0.28722713775603226</v>
      </c>
    </row>
    <row r="320" spans="1:7" x14ac:dyDescent="0.25">
      <c r="A320" s="15" t="s">
        <v>19</v>
      </c>
      <c r="B320" s="16">
        <v>113786</v>
      </c>
      <c r="C320" s="16">
        <f>90939-C329</f>
        <v>55840</v>
      </c>
      <c r="D320" s="16">
        <v>41201.81</v>
      </c>
      <c r="E320" s="16">
        <v>41201.81</v>
      </c>
      <c r="F320" s="17">
        <f t="shared" si="14"/>
        <v>0.7378547636103151</v>
      </c>
      <c r="G320" s="17">
        <f t="shared" si="13"/>
        <v>0.36209911588420368</v>
      </c>
    </row>
    <row r="321" spans="1:7" x14ac:dyDescent="0.25">
      <c r="A321" s="15" t="s">
        <v>20</v>
      </c>
      <c r="B321" s="16">
        <v>619700</v>
      </c>
      <c r="C321" s="16">
        <f>461726-C330</f>
        <v>303360</v>
      </c>
      <c r="D321" s="16">
        <v>165183.70000000001</v>
      </c>
      <c r="E321" s="16">
        <v>165183.70000000001</v>
      </c>
      <c r="F321" s="17">
        <f t="shared" si="14"/>
        <v>0.54451377900843889</v>
      </c>
      <c r="G321" s="17">
        <f t="shared" si="13"/>
        <v>0.26655430046796841</v>
      </c>
    </row>
    <row r="322" spans="1:7" x14ac:dyDescent="0.25">
      <c r="A322" s="15" t="s">
        <v>32</v>
      </c>
      <c r="B322" s="16">
        <v>19500</v>
      </c>
      <c r="C322" s="16">
        <f>19488-C331</f>
        <v>9744</v>
      </c>
      <c r="D322" s="16">
        <v>1023.48</v>
      </c>
      <c r="E322" s="16">
        <v>1023.48</v>
      </c>
      <c r="F322" s="17">
        <f t="shared" si="14"/>
        <v>0.10503694581280788</v>
      </c>
      <c r="G322" s="17">
        <f t="shared" si="13"/>
        <v>5.2486153846153849E-2</v>
      </c>
    </row>
    <row r="323" spans="1:7" ht="24" x14ac:dyDescent="0.25">
      <c r="A323" s="13" t="s">
        <v>174</v>
      </c>
      <c r="B323" s="14">
        <v>37570408</v>
      </c>
      <c r="C323" s="14">
        <v>23197941</v>
      </c>
      <c r="D323" s="14">
        <v>21627990.079999998</v>
      </c>
      <c r="E323" s="14">
        <v>21627990.079999998</v>
      </c>
      <c r="F323" s="34">
        <f t="shared" si="14"/>
        <v>0.93232369545210925</v>
      </c>
      <c r="G323" s="34">
        <f t="shared" si="13"/>
        <v>0.57566556317408102</v>
      </c>
    </row>
    <row r="324" spans="1:7" x14ac:dyDescent="0.25">
      <c r="A324" s="15" t="s">
        <v>14</v>
      </c>
      <c r="B324" s="16">
        <v>28401000</v>
      </c>
      <c r="C324" s="16">
        <v>17211666</v>
      </c>
      <c r="D324" s="16">
        <v>17195852.93</v>
      </c>
      <c r="E324" s="16">
        <v>17195852.93</v>
      </c>
      <c r="F324" s="17">
        <f t="shared" si="14"/>
        <v>0.99908125860680774</v>
      </c>
      <c r="G324" s="17">
        <f t="shared" si="13"/>
        <v>0.60546645998380333</v>
      </c>
    </row>
    <row r="325" spans="1:7" x14ac:dyDescent="0.25">
      <c r="A325" s="15" t="s">
        <v>15</v>
      </c>
      <c r="B325" s="16">
        <v>6248200</v>
      </c>
      <c r="C325" s="16">
        <v>3780098</v>
      </c>
      <c r="D325" s="16">
        <v>3755764.43</v>
      </c>
      <c r="E325" s="16">
        <v>3755764.43</v>
      </c>
      <c r="F325" s="17">
        <f t="shared" si="14"/>
        <v>0.99356271451163436</v>
      </c>
      <c r="G325" s="17">
        <f t="shared" si="13"/>
        <v>0.60109542428219331</v>
      </c>
    </row>
    <row r="326" spans="1:7" x14ac:dyDescent="0.25">
      <c r="A326" s="15" t="s">
        <v>16</v>
      </c>
      <c r="B326" s="16">
        <v>200000</v>
      </c>
      <c r="C326" s="16">
        <v>100000</v>
      </c>
      <c r="D326" s="16">
        <v>98954.3</v>
      </c>
      <c r="E326" s="16">
        <v>98954.3</v>
      </c>
      <c r="F326" s="17">
        <f t="shared" si="14"/>
        <v>0.98954300000000006</v>
      </c>
      <c r="G326" s="17">
        <f t="shared" si="13"/>
        <v>0.49477150000000003</v>
      </c>
    </row>
    <row r="327" spans="1:7" x14ac:dyDescent="0.25">
      <c r="A327" s="15" t="s">
        <v>17</v>
      </c>
      <c r="B327" s="16">
        <v>1604000</v>
      </c>
      <c r="C327" s="16">
        <v>1459000</v>
      </c>
      <c r="D327" s="16">
        <v>148851.29999999999</v>
      </c>
      <c r="E327" s="16">
        <v>148851.29999999999</v>
      </c>
      <c r="F327" s="17">
        <f t="shared" si="14"/>
        <v>0.10202282385195338</v>
      </c>
      <c r="G327" s="17">
        <f t="shared" si="13"/>
        <v>9.280006234413965E-2</v>
      </c>
    </row>
    <row r="328" spans="1:7" x14ac:dyDescent="0.25">
      <c r="A328" s="15" t="s">
        <v>18</v>
      </c>
      <c r="B328" s="16">
        <v>720884</v>
      </c>
      <c r="C328" s="16">
        <v>443968</v>
      </c>
      <c r="D328" s="16">
        <v>296077.67</v>
      </c>
      <c r="E328" s="16">
        <v>296077.67</v>
      </c>
      <c r="F328" s="17">
        <f t="shared" si="14"/>
        <v>0.6668896632189707</v>
      </c>
      <c r="G328" s="17">
        <f t="shared" ref="G328:G391" si="16">D328/B328</f>
        <v>0.41071471970525075</v>
      </c>
    </row>
    <row r="329" spans="1:7" x14ac:dyDescent="0.25">
      <c r="A329" s="15" t="s">
        <v>19</v>
      </c>
      <c r="B329" s="16">
        <v>68324</v>
      </c>
      <c r="C329" s="16">
        <v>35099</v>
      </c>
      <c r="D329" s="16">
        <v>31359.57</v>
      </c>
      <c r="E329" s="16">
        <v>31359.57</v>
      </c>
      <c r="F329" s="17">
        <f t="shared" ref="F329:F390" si="17">D329/C329</f>
        <v>0.89346049745006983</v>
      </c>
      <c r="G329" s="17">
        <f t="shared" si="16"/>
        <v>0.45898322697734323</v>
      </c>
    </row>
    <row r="330" spans="1:7" x14ac:dyDescent="0.25">
      <c r="A330" s="15" t="s">
        <v>20</v>
      </c>
      <c r="B330" s="16">
        <v>308500</v>
      </c>
      <c r="C330" s="16">
        <v>158366</v>
      </c>
      <c r="D330" s="16">
        <v>97240.71</v>
      </c>
      <c r="E330" s="16">
        <v>97240.71</v>
      </c>
      <c r="F330" s="17">
        <f t="shared" si="17"/>
        <v>0.6140251695439678</v>
      </c>
      <c r="G330" s="17">
        <f t="shared" si="16"/>
        <v>0.31520489465153972</v>
      </c>
    </row>
    <row r="331" spans="1:7" x14ac:dyDescent="0.25">
      <c r="A331" s="15" t="s">
        <v>32</v>
      </c>
      <c r="B331" s="16">
        <v>19500</v>
      </c>
      <c r="C331" s="16">
        <v>9744</v>
      </c>
      <c r="D331" s="16">
        <v>3889.17</v>
      </c>
      <c r="E331" s="16">
        <v>3889.17</v>
      </c>
      <c r="F331" s="17">
        <f t="shared" si="17"/>
        <v>0.39913485221674877</v>
      </c>
      <c r="G331" s="17">
        <f t="shared" si="16"/>
        <v>0.19944461538461539</v>
      </c>
    </row>
    <row r="332" spans="1:7" ht="24" x14ac:dyDescent="0.25">
      <c r="A332" s="10" t="s">
        <v>175</v>
      </c>
      <c r="B332" s="11">
        <v>56020983</v>
      </c>
      <c r="C332" s="11">
        <v>28882594</v>
      </c>
      <c r="D332" s="11">
        <v>24640963.960000001</v>
      </c>
      <c r="E332" s="11">
        <v>24640963.960000001</v>
      </c>
      <c r="F332" s="12">
        <f t="shared" si="17"/>
        <v>0.85314234448609427</v>
      </c>
      <c r="G332" s="12">
        <f t="shared" si="16"/>
        <v>0.43985240244713308</v>
      </c>
    </row>
    <row r="333" spans="1:7" ht="24" x14ac:dyDescent="0.25">
      <c r="A333" s="13" t="s">
        <v>146</v>
      </c>
      <c r="B333" s="14">
        <v>56020983</v>
      </c>
      <c r="C333" s="14">
        <v>28882594</v>
      </c>
      <c r="D333" s="14">
        <v>24640963.960000001</v>
      </c>
      <c r="E333" s="14">
        <v>24640963.960000001</v>
      </c>
      <c r="F333" s="34">
        <f t="shared" si="17"/>
        <v>0.85314234448609427</v>
      </c>
      <c r="G333" s="34">
        <f t="shared" si="16"/>
        <v>0.43985240244713308</v>
      </c>
    </row>
    <row r="334" spans="1:7" x14ac:dyDescent="0.25">
      <c r="A334" s="15" t="s">
        <v>14</v>
      </c>
      <c r="B334" s="16">
        <v>38817900</v>
      </c>
      <c r="C334" s="24">
        <v>19134945</v>
      </c>
      <c r="D334" s="16">
        <v>19003561.09</v>
      </c>
      <c r="E334" s="16">
        <v>19003561.09</v>
      </c>
      <c r="F334" s="17">
        <f t="shared" si="17"/>
        <v>0.99313382348368395</v>
      </c>
      <c r="G334" s="17">
        <f t="shared" si="16"/>
        <v>0.48955665015366623</v>
      </c>
    </row>
    <row r="335" spans="1:7" x14ac:dyDescent="0.25">
      <c r="A335" s="15" t="s">
        <v>15</v>
      </c>
      <c r="B335" s="16">
        <v>8539940</v>
      </c>
      <c r="C335" s="16">
        <v>4185270</v>
      </c>
      <c r="D335" s="16">
        <v>4136330.7</v>
      </c>
      <c r="E335" s="16">
        <v>4136330.7</v>
      </c>
      <c r="F335" s="17">
        <f t="shared" si="17"/>
        <v>0.98830677590693083</v>
      </c>
      <c r="G335" s="17">
        <f t="shared" si="16"/>
        <v>0.48435126007911067</v>
      </c>
    </row>
    <row r="336" spans="1:7" x14ac:dyDescent="0.25">
      <c r="A336" s="15" t="s">
        <v>16</v>
      </c>
      <c r="B336" s="16">
        <v>1000000</v>
      </c>
      <c r="C336" s="16">
        <v>1000000</v>
      </c>
      <c r="D336" s="16">
        <v>62752.74</v>
      </c>
      <c r="E336" s="16">
        <v>62752.74</v>
      </c>
      <c r="F336" s="17">
        <f t="shared" si="17"/>
        <v>6.2752740000000001E-2</v>
      </c>
      <c r="G336" s="17">
        <f t="shared" si="16"/>
        <v>6.2752740000000001E-2</v>
      </c>
    </row>
    <row r="337" spans="1:7" x14ac:dyDescent="0.25">
      <c r="A337" s="15" t="s">
        <v>17</v>
      </c>
      <c r="B337" s="16">
        <v>6092773</v>
      </c>
      <c r="C337" s="16">
        <v>3692773</v>
      </c>
      <c r="D337" s="16">
        <v>843770.73</v>
      </c>
      <c r="E337" s="16">
        <v>843770.73</v>
      </c>
      <c r="F337" s="17">
        <f t="shared" si="17"/>
        <v>0.22849244456672532</v>
      </c>
      <c r="G337" s="17">
        <f t="shared" si="16"/>
        <v>0.13848714370287551</v>
      </c>
    </row>
    <row r="338" spans="1:7" x14ac:dyDescent="0.25">
      <c r="A338" s="15" t="s">
        <v>18</v>
      </c>
      <c r="B338" s="16">
        <v>707989</v>
      </c>
      <c r="C338" s="16">
        <v>407608</v>
      </c>
      <c r="D338" s="16">
        <v>282152.15999999997</v>
      </c>
      <c r="E338" s="16">
        <v>282152.15999999997</v>
      </c>
      <c r="F338" s="17">
        <f t="shared" si="17"/>
        <v>0.69221448057938018</v>
      </c>
      <c r="G338" s="17">
        <f t="shared" si="16"/>
        <v>0.39852619179111537</v>
      </c>
    </row>
    <row r="339" spans="1:7" x14ac:dyDescent="0.25">
      <c r="A339" s="15" t="s">
        <v>19</v>
      </c>
      <c r="B339" s="16">
        <v>91851</v>
      </c>
      <c r="C339" s="16">
        <v>39631</v>
      </c>
      <c r="D339" s="16">
        <v>25696.3</v>
      </c>
      <c r="E339" s="16">
        <v>25696.3</v>
      </c>
      <c r="F339" s="17">
        <f t="shared" si="17"/>
        <v>0.64838888748706813</v>
      </c>
      <c r="G339" s="17">
        <f t="shared" si="16"/>
        <v>0.27976069939358306</v>
      </c>
    </row>
    <row r="340" spans="1:7" x14ac:dyDescent="0.25">
      <c r="A340" s="15" t="s">
        <v>20</v>
      </c>
      <c r="B340" s="16">
        <v>724290</v>
      </c>
      <c r="C340" s="16">
        <v>396220</v>
      </c>
      <c r="D340" s="16">
        <v>278557.46999999997</v>
      </c>
      <c r="E340" s="16">
        <v>278557.46999999997</v>
      </c>
      <c r="F340" s="17">
        <f t="shared" si="17"/>
        <v>0.70303737822421875</v>
      </c>
      <c r="G340" s="17">
        <f t="shared" si="16"/>
        <v>0.38459383672285957</v>
      </c>
    </row>
    <row r="341" spans="1:7" x14ac:dyDescent="0.25">
      <c r="A341" s="15" t="s">
        <v>32</v>
      </c>
      <c r="B341" s="16">
        <v>40240</v>
      </c>
      <c r="C341" s="16">
        <v>20147</v>
      </c>
      <c r="D341" s="16">
        <v>8142.77</v>
      </c>
      <c r="E341" s="16">
        <v>8142.77</v>
      </c>
      <c r="F341" s="17">
        <f t="shared" si="17"/>
        <v>0.40416786618355094</v>
      </c>
      <c r="G341" s="17">
        <f t="shared" si="16"/>
        <v>0.20235511928429425</v>
      </c>
    </row>
    <row r="342" spans="1:7" ht="24" x14ac:dyDescent="0.25">
      <c r="A342" s="15" t="s">
        <v>21</v>
      </c>
      <c r="B342" s="16">
        <v>6000</v>
      </c>
      <c r="C342" s="16">
        <v>6000</v>
      </c>
      <c r="D342" s="18"/>
      <c r="E342" s="18"/>
      <c r="F342" s="17">
        <f t="shared" si="17"/>
        <v>0</v>
      </c>
      <c r="G342" s="17">
        <f t="shared" si="16"/>
        <v>0</v>
      </c>
    </row>
    <row r="343" spans="1:7" x14ac:dyDescent="0.25">
      <c r="A343" s="10" t="s">
        <v>176</v>
      </c>
      <c r="B343" s="11">
        <v>123080</v>
      </c>
      <c r="C343" s="11">
        <v>25340</v>
      </c>
      <c r="D343" s="11">
        <v>25340</v>
      </c>
      <c r="E343" s="11">
        <v>25340</v>
      </c>
      <c r="F343" s="12">
        <f t="shared" si="17"/>
        <v>1</v>
      </c>
      <c r="G343" s="12">
        <f t="shared" si="16"/>
        <v>0.20588235294117646</v>
      </c>
    </row>
    <row r="344" spans="1:7" ht="24" x14ac:dyDescent="0.25">
      <c r="A344" s="13" t="s">
        <v>146</v>
      </c>
      <c r="B344" s="14">
        <v>123080</v>
      </c>
      <c r="C344" s="14">
        <v>25340</v>
      </c>
      <c r="D344" s="14">
        <v>25340</v>
      </c>
      <c r="E344" s="14">
        <v>25340</v>
      </c>
      <c r="F344" s="34">
        <f t="shared" si="17"/>
        <v>1</v>
      </c>
      <c r="G344" s="34">
        <f t="shared" si="16"/>
        <v>0.20588235294117646</v>
      </c>
    </row>
    <row r="345" spans="1:7" x14ac:dyDescent="0.25">
      <c r="A345" s="15" t="s">
        <v>67</v>
      </c>
      <c r="B345" s="16">
        <v>123080</v>
      </c>
      <c r="C345" s="16">
        <v>25340</v>
      </c>
      <c r="D345" s="16">
        <v>25340</v>
      </c>
      <c r="E345" s="16">
        <v>25340</v>
      </c>
      <c r="F345" s="12">
        <f t="shared" si="17"/>
        <v>1</v>
      </c>
      <c r="G345" s="12">
        <f t="shared" si="16"/>
        <v>0.20588235294117646</v>
      </c>
    </row>
    <row r="346" spans="1:7" ht="24" x14ac:dyDescent="0.25">
      <c r="A346" s="10" t="s">
        <v>177</v>
      </c>
      <c r="B346" s="11">
        <v>7436794</v>
      </c>
      <c r="C346" s="11">
        <v>4614451</v>
      </c>
      <c r="D346" s="11">
        <v>2724591</v>
      </c>
      <c r="E346" s="11">
        <v>2724591</v>
      </c>
      <c r="F346" s="12">
        <f t="shared" si="17"/>
        <v>0.59044748768596744</v>
      </c>
      <c r="G346" s="12">
        <f t="shared" si="16"/>
        <v>0.36636634011914276</v>
      </c>
    </row>
    <row r="347" spans="1:7" ht="24" x14ac:dyDescent="0.25">
      <c r="A347" s="13" t="s">
        <v>178</v>
      </c>
      <c r="B347" s="14">
        <v>3001047</v>
      </c>
      <c r="C347" s="14">
        <v>1671350</v>
      </c>
      <c r="D347" s="14">
        <v>1030232.02</v>
      </c>
      <c r="E347" s="14">
        <v>1030232.02</v>
      </c>
      <c r="F347" s="34">
        <f t="shared" si="17"/>
        <v>0.61640710802644572</v>
      </c>
      <c r="G347" s="34">
        <f t="shared" si="16"/>
        <v>0.34329086482151061</v>
      </c>
    </row>
    <row r="348" spans="1:7" x14ac:dyDescent="0.25">
      <c r="A348" s="15" t="s">
        <v>14</v>
      </c>
      <c r="B348" s="16">
        <v>1751710</v>
      </c>
      <c r="C348" s="16">
        <v>893250</v>
      </c>
      <c r="D348" s="16">
        <v>722477.26</v>
      </c>
      <c r="E348" s="16">
        <v>722477.26</v>
      </c>
      <c r="F348" s="17">
        <f t="shared" si="17"/>
        <v>0.80881865099356287</v>
      </c>
      <c r="G348" s="17">
        <f t="shared" si="16"/>
        <v>0.41244113466270105</v>
      </c>
    </row>
    <row r="349" spans="1:7" x14ac:dyDescent="0.25">
      <c r="A349" s="15" t="s">
        <v>15</v>
      </c>
      <c r="B349" s="16">
        <v>385375</v>
      </c>
      <c r="C349" s="16">
        <v>196514</v>
      </c>
      <c r="D349" s="16">
        <v>162674.82</v>
      </c>
      <c r="E349" s="16">
        <v>162674.82</v>
      </c>
      <c r="F349" s="17">
        <f t="shared" si="17"/>
        <v>0.82780270107982135</v>
      </c>
      <c r="G349" s="17">
        <f t="shared" si="16"/>
        <v>0.42212084333441457</v>
      </c>
    </row>
    <row r="350" spans="1:7" x14ac:dyDescent="0.25">
      <c r="A350" s="15" t="s">
        <v>16</v>
      </c>
      <c r="B350" s="16">
        <v>268700</v>
      </c>
      <c r="C350" s="16">
        <v>268700</v>
      </c>
      <c r="D350" s="16">
        <v>108262.04</v>
      </c>
      <c r="E350" s="16">
        <v>108262.04</v>
      </c>
      <c r="F350" s="17">
        <f t="shared" si="17"/>
        <v>0.40291045775958317</v>
      </c>
      <c r="G350" s="17">
        <f t="shared" si="16"/>
        <v>0.40291045775958317</v>
      </c>
    </row>
    <row r="351" spans="1:7" x14ac:dyDescent="0.25">
      <c r="A351" s="15" t="s">
        <v>17</v>
      </c>
      <c r="B351" s="16">
        <v>285000</v>
      </c>
      <c r="C351" s="16">
        <v>142500</v>
      </c>
      <c r="D351" s="16">
        <v>29600</v>
      </c>
      <c r="E351" s="16">
        <v>29600</v>
      </c>
      <c r="F351" s="17">
        <f t="shared" si="17"/>
        <v>0.20771929824561403</v>
      </c>
      <c r="G351" s="17">
        <f t="shared" si="16"/>
        <v>0.10385964912280701</v>
      </c>
    </row>
    <row r="352" spans="1:7" x14ac:dyDescent="0.25">
      <c r="A352" s="15" t="s">
        <v>18</v>
      </c>
      <c r="B352" s="16">
        <v>125451</v>
      </c>
      <c r="C352" s="16">
        <v>72836</v>
      </c>
      <c r="D352" s="16">
        <v>6552.81</v>
      </c>
      <c r="E352" s="16">
        <v>6552.81</v>
      </c>
      <c r="F352" s="17">
        <f t="shared" si="17"/>
        <v>8.9966637377121211E-2</v>
      </c>
      <c r="G352" s="17">
        <f t="shared" si="16"/>
        <v>5.2234019657077267E-2</v>
      </c>
    </row>
    <row r="353" spans="1:7" x14ac:dyDescent="0.25">
      <c r="A353" s="15" t="s">
        <v>19</v>
      </c>
      <c r="B353" s="16">
        <v>5296</v>
      </c>
      <c r="C353" s="16">
        <v>2850</v>
      </c>
      <c r="D353" s="18"/>
      <c r="E353" s="18"/>
      <c r="F353" s="17">
        <f t="shared" si="17"/>
        <v>0</v>
      </c>
      <c r="G353" s="17">
        <f t="shared" si="16"/>
        <v>0</v>
      </c>
    </row>
    <row r="354" spans="1:7" x14ac:dyDescent="0.25">
      <c r="A354" s="15" t="s">
        <v>20</v>
      </c>
      <c r="B354" s="16">
        <v>176515</v>
      </c>
      <c r="C354" s="16">
        <v>91700</v>
      </c>
      <c r="D354" s="19">
        <v>665.09</v>
      </c>
      <c r="E354" s="19">
        <v>665.09</v>
      </c>
      <c r="F354" s="17">
        <f t="shared" si="17"/>
        <v>7.25288985823337E-3</v>
      </c>
      <c r="G354" s="17">
        <f t="shared" si="16"/>
        <v>3.7678950797382662E-3</v>
      </c>
    </row>
    <row r="355" spans="1:7" ht="24" x14ac:dyDescent="0.25">
      <c r="A355" s="15" t="s">
        <v>21</v>
      </c>
      <c r="B355" s="16">
        <v>3000</v>
      </c>
      <c r="C355" s="16">
        <v>3000</v>
      </c>
      <c r="D355" s="18"/>
      <c r="E355" s="18"/>
      <c r="F355" s="17">
        <f t="shared" si="17"/>
        <v>0</v>
      </c>
      <c r="G355" s="17">
        <f t="shared" si="16"/>
        <v>0</v>
      </c>
    </row>
    <row r="356" spans="1:7" ht="24" x14ac:dyDescent="0.25">
      <c r="A356" s="13" t="s">
        <v>179</v>
      </c>
      <c r="B356" s="14">
        <v>4435747</v>
      </c>
      <c r="C356" s="14">
        <v>2943101</v>
      </c>
      <c r="D356" s="14">
        <v>1694358.98</v>
      </c>
      <c r="E356" s="14">
        <v>1694358.98</v>
      </c>
      <c r="F356" s="34">
        <f t="shared" si="17"/>
        <v>0.57570534616379121</v>
      </c>
      <c r="G356" s="34">
        <f t="shared" si="16"/>
        <v>0.38197827333254125</v>
      </c>
    </row>
    <row r="357" spans="1:7" x14ac:dyDescent="0.25">
      <c r="A357" s="15" t="s">
        <v>14</v>
      </c>
      <c r="B357" s="16">
        <v>2140980</v>
      </c>
      <c r="C357" s="16">
        <v>1091750</v>
      </c>
      <c r="D357" s="16">
        <v>986751.07</v>
      </c>
      <c r="E357" s="16">
        <v>986751.07</v>
      </c>
      <c r="F357" s="17">
        <f t="shared" si="17"/>
        <v>0.90382511564002743</v>
      </c>
      <c r="G357" s="17">
        <f t="shared" si="16"/>
        <v>0.46088757017814269</v>
      </c>
    </row>
    <row r="358" spans="1:7" x14ac:dyDescent="0.25">
      <c r="A358" s="15" t="s">
        <v>15</v>
      </c>
      <c r="B358" s="16">
        <v>471015</v>
      </c>
      <c r="C358" s="16">
        <v>240185</v>
      </c>
      <c r="D358" s="16">
        <v>213974.44</v>
      </c>
      <c r="E358" s="16">
        <v>213974.44</v>
      </c>
      <c r="F358" s="17">
        <f t="shared" si="17"/>
        <v>0.89087345171430354</v>
      </c>
      <c r="G358" s="17">
        <f t="shared" si="16"/>
        <v>0.45428370646370075</v>
      </c>
    </row>
    <row r="359" spans="1:7" x14ac:dyDescent="0.25">
      <c r="A359" s="15" t="s">
        <v>16</v>
      </c>
      <c r="B359" s="16">
        <v>731300</v>
      </c>
      <c r="C359" s="16">
        <v>700000</v>
      </c>
      <c r="D359" s="16">
        <v>147687.6</v>
      </c>
      <c r="E359" s="16">
        <v>147687.6</v>
      </c>
      <c r="F359" s="17">
        <f t="shared" si="17"/>
        <v>0.21098228571428573</v>
      </c>
      <c r="G359" s="17">
        <f t="shared" si="16"/>
        <v>0.2019521400246137</v>
      </c>
    </row>
    <row r="360" spans="1:7" x14ac:dyDescent="0.25">
      <c r="A360" s="15" t="s">
        <v>17</v>
      </c>
      <c r="B360" s="16">
        <v>660000</v>
      </c>
      <c r="C360" s="16">
        <v>660000</v>
      </c>
      <c r="D360" s="16">
        <v>219334.84</v>
      </c>
      <c r="E360" s="16">
        <v>219334.84</v>
      </c>
      <c r="F360" s="17">
        <f t="shared" si="17"/>
        <v>0.33232551515151515</v>
      </c>
      <c r="G360" s="17">
        <f t="shared" si="16"/>
        <v>0.33232551515151515</v>
      </c>
    </row>
    <row r="361" spans="1:7" x14ac:dyDescent="0.25">
      <c r="A361" s="15" t="s">
        <v>18</v>
      </c>
      <c r="B361" s="16">
        <v>281329</v>
      </c>
      <c r="C361" s="16">
        <v>170490</v>
      </c>
      <c r="D361" s="16">
        <v>90674.03</v>
      </c>
      <c r="E361" s="16">
        <v>90674.03</v>
      </c>
      <c r="F361" s="17">
        <f t="shared" si="17"/>
        <v>0.53184368584667718</v>
      </c>
      <c r="G361" s="17">
        <f t="shared" si="16"/>
        <v>0.32230601893157124</v>
      </c>
    </row>
    <row r="362" spans="1:7" x14ac:dyDescent="0.25">
      <c r="A362" s="15" t="s">
        <v>19</v>
      </c>
      <c r="B362" s="16">
        <v>28123</v>
      </c>
      <c r="C362" s="16">
        <v>14276</v>
      </c>
      <c r="D362" s="16">
        <v>5918.82</v>
      </c>
      <c r="E362" s="16">
        <v>5918.82</v>
      </c>
      <c r="F362" s="17">
        <f t="shared" si="17"/>
        <v>0.41459932754272905</v>
      </c>
      <c r="G362" s="17">
        <f t="shared" si="16"/>
        <v>0.21046189951285424</v>
      </c>
    </row>
    <row r="363" spans="1:7" x14ac:dyDescent="0.25">
      <c r="A363" s="15" t="s">
        <v>20</v>
      </c>
      <c r="B363" s="16">
        <v>120000</v>
      </c>
      <c r="C363" s="16">
        <v>63400</v>
      </c>
      <c r="D363" s="16">
        <v>28518.18</v>
      </c>
      <c r="E363" s="16">
        <v>28518.18</v>
      </c>
      <c r="F363" s="17">
        <f t="shared" si="17"/>
        <v>0.44981356466876971</v>
      </c>
      <c r="G363" s="17">
        <f t="shared" si="16"/>
        <v>0.23765150000000002</v>
      </c>
    </row>
    <row r="364" spans="1:7" ht="24" x14ac:dyDescent="0.25">
      <c r="A364" s="15" t="s">
        <v>21</v>
      </c>
      <c r="B364" s="16">
        <v>3000</v>
      </c>
      <c r="C364" s="16">
        <v>3000</v>
      </c>
      <c r="D364" s="16">
        <v>1500</v>
      </c>
      <c r="E364" s="16">
        <v>1500</v>
      </c>
      <c r="F364" s="17">
        <f t="shared" si="17"/>
        <v>0.5</v>
      </c>
      <c r="G364" s="17">
        <f t="shared" si="16"/>
        <v>0.5</v>
      </c>
    </row>
    <row r="365" spans="1:7" ht="24" x14ac:dyDescent="0.25">
      <c r="A365" s="10" t="s">
        <v>180</v>
      </c>
      <c r="B365" s="11">
        <v>4852492</v>
      </c>
      <c r="C365" s="11">
        <v>4410815</v>
      </c>
      <c r="D365" s="11">
        <v>4410815</v>
      </c>
      <c r="E365" s="11">
        <v>4295132.87</v>
      </c>
      <c r="F365" s="12">
        <f t="shared" si="17"/>
        <v>1</v>
      </c>
      <c r="G365" s="12">
        <f t="shared" si="16"/>
        <v>0.90897934504580324</v>
      </c>
    </row>
    <row r="366" spans="1:7" ht="24" x14ac:dyDescent="0.25">
      <c r="A366" s="13" t="s">
        <v>178</v>
      </c>
      <c r="B366" s="14">
        <v>2000261</v>
      </c>
      <c r="C366" s="14">
        <v>1818199</v>
      </c>
      <c r="D366" s="14">
        <v>1818199</v>
      </c>
      <c r="E366" s="14">
        <v>1702516.87</v>
      </c>
      <c r="F366" s="34">
        <f t="shared" si="17"/>
        <v>1</v>
      </c>
      <c r="G366" s="34">
        <f t="shared" si="16"/>
        <v>0.9089808779954216</v>
      </c>
    </row>
    <row r="367" spans="1:7" x14ac:dyDescent="0.25">
      <c r="A367" s="15" t="s">
        <v>14</v>
      </c>
      <c r="B367" s="16">
        <v>1639558</v>
      </c>
      <c r="C367" s="16">
        <v>1490326</v>
      </c>
      <c r="D367" s="16">
        <v>1490326</v>
      </c>
      <c r="E367" s="16">
        <v>1402039.5</v>
      </c>
      <c r="F367" s="17">
        <f t="shared" si="17"/>
        <v>1</v>
      </c>
      <c r="G367" s="17">
        <f t="shared" si="16"/>
        <v>0.90898034714233955</v>
      </c>
    </row>
    <row r="368" spans="1:7" x14ac:dyDescent="0.25">
      <c r="A368" s="15" t="s">
        <v>15</v>
      </c>
      <c r="B368" s="16">
        <v>360703</v>
      </c>
      <c r="C368" s="16">
        <v>327873</v>
      </c>
      <c r="D368" s="16">
        <v>327873</v>
      </c>
      <c r="E368" s="16">
        <v>300477.37</v>
      </c>
      <c r="F368" s="17">
        <f t="shared" si="17"/>
        <v>1</v>
      </c>
      <c r="G368" s="17">
        <f t="shared" si="16"/>
        <v>0.90898329096237074</v>
      </c>
    </row>
    <row r="369" spans="1:7" ht="24" x14ac:dyDescent="0.25">
      <c r="A369" s="13" t="s">
        <v>179</v>
      </c>
      <c r="B369" s="14">
        <v>2852231</v>
      </c>
      <c r="C369" s="14">
        <v>2592616</v>
      </c>
      <c r="D369" s="14">
        <v>2592616</v>
      </c>
      <c r="E369" s="14">
        <v>2592616</v>
      </c>
      <c r="F369" s="34">
        <f t="shared" si="17"/>
        <v>1</v>
      </c>
      <c r="G369" s="34">
        <f t="shared" si="16"/>
        <v>0.90897826999285825</v>
      </c>
    </row>
    <row r="370" spans="1:7" x14ac:dyDescent="0.25">
      <c r="A370" s="15" t="s">
        <v>14</v>
      </c>
      <c r="B370" s="16">
        <v>2337894</v>
      </c>
      <c r="C370" s="16">
        <v>2125096</v>
      </c>
      <c r="D370" s="16">
        <v>2125096</v>
      </c>
      <c r="E370" s="16">
        <v>2125096</v>
      </c>
      <c r="F370" s="17">
        <f t="shared" si="17"/>
        <v>1</v>
      </c>
      <c r="G370" s="17">
        <f t="shared" si="16"/>
        <v>0.90897876464886773</v>
      </c>
    </row>
    <row r="371" spans="1:7" x14ac:dyDescent="0.25">
      <c r="A371" s="15" t="s">
        <v>15</v>
      </c>
      <c r="B371" s="16">
        <v>514337</v>
      </c>
      <c r="C371" s="16">
        <v>467520</v>
      </c>
      <c r="D371" s="16">
        <v>467520</v>
      </c>
      <c r="E371" s="16">
        <v>467520</v>
      </c>
      <c r="F371" s="17">
        <f t="shared" si="17"/>
        <v>1</v>
      </c>
      <c r="G371" s="17">
        <f t="shared" si="16"/>
        <v>0.90897602155785018</v>
      </c>
    </row>
    <row r="372" spans="1:7" ht="60" x14ac:dyDescent="0.25">
      <c r="A372" s="10" t="s">
        <v>181</v>
      </c>
      <c r="B372" s="11">
        <v>3661100</v>
      </c>
      <c r="C372" s="11">
        <v>2197800</v>
      </c>
      <c r="D372" s="11">
        <v>2197800</v>
      </c>
      <c r="E372" s="11">
        <v>2195721.56</v>
      </c>
      <c r="F372" s="12">
        <f t="shared" si="17"/>
        <v>1</v>
      </c>
      <c r="G372" s="12">
        <f t="shared" si="16"/>
        <v>0.60031138182513455</v>
      </c>
    </row>
    <row r="373" spans="1:7" x14ac:dyDescent="0.25">
      <c r="A373" s="13" t="s">
        <v>150</v>
      </c>
      <c r="B373" s="14">
        <v>12564.09</v>
      </c>
      <c r="C373" s="14">
        <v>12564.09</v>
      </c>
      <c r="D373" s="14">
        <v>12564.09</v>
      </c>
      <c r="E373" s="14">
        <v>12564.09</v>
      </c>
      <c r="F373" s="34">
        <f t="shared" si="17"/>
        <v>1</v>
      </c>
      <c r="G373" s="34">
        <f t="shared" si="16"/>
        <v>1</v>
      </c>
    </row>
    <row r="374" spans="1:7" x14ac:dyDescent="0.25">
      <c r="A374" s="15" t="s">
        <v>14</v>
      </c>
      <c r="B374" s="16">
        <v>10298.44</v>
      </c>
      <c r="C374" s="16">
        <v>10298.44</v>
      </c>
      <c r="D374" s="16">
        <v>10298.44</v>
      </c>
      <c r="E374" s="16">
        <v>10298.44</v>
      </c>
      <c r="F374" s="17">
        <f t="shared" si="17"/>
        <v>1</v>
      </c>
      <c r="G374" s="17">
        <f t="shared" si="16"/>
        <v>1</v>
      </c>
    </row>
    <row r="375" spans="1:7" x14ac:dyDescent="0.25">
      <c r="A375" s="15" t="s">
        <v>15</v>
      </c>
      <c r="B375" s="16">
        <v>2265.65</v>
      </c>
      <c r="C375" s="16">
        <v>2265.65</v>
      </c>
      <c r="D375" s="16">
        <v>2265.65</v>
      </c>
      <c r="E375" s="16">
        <v>2265.65</v>
      </c>
      <c r="F375" s="17">
        <f t="shared" si="17"/>
        <v>1</v>
      </c>
      <c r="G375" s="17">
        <f t="shared" si="16"/>
        <v>1</v>
      </c>
    </row>
    <row r="376" spans="1:7" ht="24" x14ac:dyDescent="0.25">
      <c r="A376" s="13" t="s">
        <v>151</v>
      </c>
      <c r="B376" s="14">
        <v>119999</v>
      </c>
      <c r="C376" s="14">
        <v>119999</v>
      </c>
      <c r="D376" s="14">
        <v>119999</v>
      </c>
      <c r="E376" s="14">
        <v>119915.57</v>
      </c>
      <c r="F376" s="34">
        <f t="shared" si="17"/>
        <v>1</v>
      </c>
      <c r="G376" s="34">
        <f t="shared" si="16"/>
        <v>1</v>
      </c>
    </row>
    <row r="377" spans="1:7" x14ac:dyDescent="0.25">
      <c r="A377" s="15" t="s">
        <v>14</v>
      </c>
      <c r="B377" s="16">
        <v>98360</v>
      </c>
      <c r="C377" s="16">
        <v>98360</v>
      </c>
      <c r="D377" s="16">
        <v>98360</v>
      </c>
      <c r="E377" s="16">
        <v>98291.43</v>
      </c>
      <c r="F377" s="17">
        <f t="shared" si="17"/>
        <v>1</v>
      </c>
      <c r="G377" s="17">
        <f t="shared" si="16"/>
        <v>1</v>
      </c>
    </row>
    <row r="378" spans="1:7" x14ac:dyDescent="0.25">
      <c r="A378" s="15" t="s">
        <v>15</v>
      </c>
      <c r="B378" s="16">
        <v>21639</v>
      </c>
      <c r="C378" s="16">
        <v>21639</v>
      </c>
      <c r="D378" s="16">
        <v>21639</v>
      </c>
      <c r="E378" s="16">
        <v>21624.14</v>
      </c>
      <c r="F378" s="17">
        <f t="shared" si="17"/>
        <v>1</v>
      </c>
      <c r="G378" s="17">
        <f t="shared" si="16"/>
        <v>1</v>
      </c>
    </row>
    <row r="379" spans="1:7" ht="24" x14ac:dyDescent="0.25">
      <c r="A379" s="13" t="s">
        <v>153</v>
      </c>
      <c r="B379" s="14">
        <v>54697</v>
      </c>
      <c r="C379" s="14">
        <v>54697</v>
      </c>
      <c r="D379" s="14">
        <v>54697</v>
      </c>
      <c r="E379" s="14">
        <v>53914.3</v>
      </c>
      <c r="F379" s="34">
        <f t="shared" si="17"/>
        <v>1</v>
      </c>
      <c r="G379" s="34">
        <f t="shared" si="16"/>
        <v>1</v>
      </c>
    </row>
    <row r="380" spans="1:7" x14ac:dyDescent="0.25">
      <c r="A380" s="15" t="s">
        <v>14</v>
      </c>
      <c r="B380" s="16">
        <v>44834</v>
      </c>
      <c r="C380" s="16">
        <v>44834</v>
      </c>
      <c r="D380" s="16">
        <v>44834</v>
      </c>
      <c r="E380" s="16">
        <v>44192.04</v>
      </c>
      <c r="F380" s="17">
        <f t="shared" si="17"/>
        <v>1</v>
      </c>
      <c r="G380" s="17">
        <f t="shared" si="16"/>
        <v>1</v>
      </c>
    </row>
    <row r="381" spans="1:7" x14ac:dyDescent="0.25">
      <c r="A381" s="15" t="s">
        <v>15</v>
      </c>
      <c r="B381" s="16">
        <v>9863</v>
      </c>
      <c r="C381" s="16">
        <v>9863</v>
      </c>
      <c r="D381" s="16">
        <v>9863</v>
      </c>
      <c r="E381" s="16">
        <v>9722.26</v>
      </c>
      <c r="F381" s="17">
        <f t="shared" si="17"/>
        <v>1</v>
      </c>
      <c r="G381" s="17">
        <f t="shared" si="16"/>
        <v>1</v>
      </c>
    </row>
    <row r="382" spans="1:7" x14ac:dyDescent="0.25">
      <c r="A382" s="13" t="s">
        <v>154</v>
      </c>
      <c r="B382" s="14">
        <v>147273</v>
      </c>
      <c r="C382" s="14">
        <v>147273</v>
      </c>
      <c r="D382" s="14">
        <v>147273</v>
      </c>
      <c r="E382" s="14">
        <v>147270.29</v>
      </c>
      <c r="F382" s="34">
        <f t="shared" si="17"/>
        <v>1</v>
      </c>
      <c r="G382" s="34">
        <f t="shared" si="16"/>
        <v>1</v>
      </c>
    </row>
    <row r="383" spans="1:7" x14ac:dyDescent="0.25">
      <c r="A383" s="15" t="s">
        <v>14</v>
      </c>
      <c r="B383" s="16">
        <v>120716</v>
      </c>
      <c r="C383" s="16">
        <v>120716</v>
      </c>
      <c r="D383" s="16">
        <v>120716</v>
      </c>
      <c r="E383" s="16">
        <v>120713.36</v>
      </c>
      <c r="F383" s="17">
        <f t="shared" si="17"/>
        <v>1</v>
      </c>
      <c r="G383" s="17">
        <f t="shared" si="16"/>
        <v>1</v>
      </c>
    </row>
    <row r="384" spans="1:7" x14ac:dyDescent="0.25">
      <c r="A384" s="15" t="s">
        <v>15</v>
      </c>
      <c r="B384" s="16">
        <v>26557</v>
      </c>
      <c r="C384" s="16">
        <v>26557</v>
      </c>
      <c r="D384" s="16">
        <v>26557</v>
      </c>
      <c r="E384" s="16">
        <v>26556.93</v>
      </c>
      <c r="F384" s="17">
        <f t="shared" si="17"/>
        <v>1</v>
      </c>
      <c r="G384" s="17">
        <f t="shared" si="16"/>
        <v>1</v>
      </c>
    </row>
    <row r="385" spans="1:7" ht="24" x14ac:dyDescent="0.25">
      <c r="A385" s="13" t="s">
        <v>157</v>
      </c>
      <c r="B385" s="14">
        <v>29448</v>
      </c>
      <c r="C385" s="14">
        <v>29448</v>
      </c>
      <c r="D385" s="14">
        <v>29448</v>
      </c>
      <c r="E385" s="14">
        <v>29448</v>
      </c>
      <c r="F385" s="34">
        <f t="shared" si="17"/>
        <v>1</v>
      </c>
      <c r="G385" s="34">
        <f t="shared" si="16"/>
        <v>1</v>
      </c>
    </row>
    <row r="386" spans="1:7" x14ac:dyDescent="0.25">
      <c r="A386" s="15" t="s">
        <v>14</v>
      </c>
      <c r="B386" s="16">
        <v>24141</v>
      </c>
      <c r="C386" s="16">
        <v>24141</v>
      </c>
      <c r="D386" s="16">
        <v>24141</v>
      </c>
      <c r="E386" s="16">
        <v>24141</v>
      </c>
      <c r="F386" s="17">
        <f t="shared" si="17"/>
        <v>1</v>
      </c>
      <c r="G386" s="17">
        <f t="shared" si="16"/>
        <v>1</v>
      </c>
    </row>
    <row r="387" spans="1:7" x14ac:dyDescent="0.25">
      <c r="A387" s="15" t="s">
        <v>15</v>
      </c>
      <c r="B387" s="16">
        <v>5307</v>
      </c>
      <c r="C387" s="16">
        <v>5307</v>
      </c>
      <c r="D387" s="16">
        <v>5307</v>
      </c>
      <c r="E387" s="16">
        <v>5307</v>
      </c>
      <c r="F387" s="17">
        <f t="shared" si="17"/>
        <v>1</v>
      </c>
      <c r="G387" s="17">
        <f t="shared" si="16"/>
        <v>1</v>
      </c>
    </row>
    <row r="388" spans="1:7" ht="24" x14ac:dyDescent="0.25">
      <c r="A388" s="13" t="s">
        <v>146</v>
      </c>
      <c r="B388" s="14">
        <v>3297118.91</v>
      </c>
      <c r="C388" s="14">
        <v>1833818.91</v>
      </c>
      <c r="D388" s="14">
        <v>1833818.91</v>
      </c>
      <c r="E388" s="14">
        <v>1832609.31</v>
      </c>
      <c r="F388" s="34">
        <f t="shared" si="17"/>
        <v>1</v>
      </c>
      <c r="G388" s="34">
        <f t="shared" si="16"/>
        <v>0.55618828439523882</v>
      </c>
    </row>
    <row r="389" spans="1:7" x14ac:dyDescent="0.25">
      <c r="A389" s="15" t="s">
        <v>14</v>
      </c>
      <c r="B389" s="16">
        <v>2702550.56</v>
      </c>
      <c r="C389" s="16">
        <v>1502850.56</v>
      </c>
      <c r="D389" s="16">
        <v>1502850.56</v>
      </c>
      <c r="E389" s="16">
        <v>1502138.75</v>
      </c>
      <c r="F389" s="17">
        <f t="shared" si="17"/>
        <v>1</v>
      </c>
      <c r="G389" s="17">
        <f t="shared" si="16"/>
        <v>0.55608601083859099</v>
      </c>
    </row>
    <row r="390" spans="1:7" x14ac:dyDescent="0.25">
      <c r="A390" s="15" t="s">
        <v>15</v>
      </c>
      <c r="B390" s="16">
        <v>594568.35</v>
      </c>
      <c r="C390" s="16">
        <v>330968.34999999998</v>
      </c>
      <c r="D390" s="16">
        <v>330968.34999999998</v>
      </c>
      <c r="E390" s="16">
        <v>330470.56</v>
      </c>
      <c r="F390" s="17">
        <f t="shared" si="17"/>
        <v>1</v>
      </c>
      <c r="G390" s="17">
        <f t="shared" si="16"/>
        <v>0.55665315854770947</v>
      </c>
    </row>
    <row r="391" spans="1:7" ht="72" x14ac:dyDescent="0.25">
      <c r="A391" s="10" t="s">
        <v>182</v>
      </c>
      <c r="B391" s="11">
        <v>596409</v>
      </c>
      <c r="C391" s="21"/>
      <c r="D391" s="21"/>
      <c r="E391" s="21"/>
      <c r="F391" s="12">
        <v>0</v>
      </c>
      <c r="G391" s="12">
        <f t="shared" si="16"/>
        <v>0</v>
      </c>
    </row>
    <row r="392" spans="1:7" ht="24" x14ac:dyDescent="0.25">
      <c r="A392" s="10" t="s">
        <v>146</v>
      </c>
      <c r="B392" s="11">
        <v>596409</v>
      </c>
      <c r="C392" s="21"/>
      <c r="D392" s="21"/>
      <c r="E392" s="21"/>
      <c r="F392" s="12">
        <v>0</v>
      </c>
      <c r="G392" s="12">
        <f t="shared" ref="G392:G455" si="18">D392/B392</f>
        <v>0</v>
      </c>
    </row>
    <row r="393" spans="1:7" x14ac:dyDescent="0.25">
      <c r="A393" s="15" t="s">
        <v>16</v>
      </c>
      <c r="B393" s="16">
        <v>596409</v>
      </c>
      <c r="C393" s="18"/>
      <c r="D393" s="18"/>
      <c r="E393" s="18"/>
      <c r="F393" s="17">
        <v>0</v>
      </c>
      <c r="G393" s="17">
        <f t="shared" si="18"/>
        <v>0</v>
      </c>
    </row>
    <row r="394" spans="1:7" ht="36" x14ac:dyDescent="0.25">
      <c r="A394" s="10" t="s">
        <v>183</v>
      </c>
      <c r="B394" s="11">
        <v>42045300</v>
      </c>
      <c r="C394" s="11">
        <v>42045300</v>
      </c>
      <c r="D394" s="11">
        <v>42045300</v>
      </c>
      <c r="E394" s="11">
        <v>34754246.43</v>
      </c>
      <c r="F394" s="12">
        <f t="shared" ref="F394:F457" si="19">D394/C394</f>
        <v>1</v>
      </c>
      <c r="G394" s="12">
        <f t="shared" si="18"/>
        <v>1</v>
      </c>
    </row>
    <row r="395" spans="1:7" x14ac:dyDescent="0.25">
      <c r="A395" s="13" t="s">
        <v>150</v>
      </c>
      <c r="B395" s="14">
        <v>1831309</v>
      </c>
      <c r="C395" s="14">
        <v>1831309</v>
      </c>
      <c r="D395" s="14">
        <v>1831309</v>
      </c>
      <c r="E395" s="14">
        <v>1767042.15</v>
      </c>
      <c r="F395" s="34">
        <f t="shared" si="19"/>
        <v>1</v>
      </c>
      <c r="G395" s="34">
        <f t="shared" si="18"/>
        <v>1</v>
      </c>
    </row>
    <row r="396" spans="1:7" x14ac:dyDescent="0.25">
      <c r="A396" s="15" t="s">
        <v>14</v>
      </c>
      <c r="B396" s="16">
        <v>1501072</v>
      </c>
      <c r="C396" s="16">
        <v>1501072</v>
      </c>
      <c r="D396" s="16">
        <v>1501072</v>
      </c>
      <c r="E396" s="16">
        <v>1448395.21</v>
      </c>
      <c r="F396" s="17">
        <f t="shared" si="19"/>
        <v>1</v>
      </c>
      <c r="G396" s="17">
        <f t="shared" si="18"/>
        <v>1</v>
      </c>
    </row>
    <row r="397" spans="1:7" x14ac:dyDescent="0.25">
      <c r="A397" s="15" t="s">
        <v>15</v>
      </c>
      <c r="B397" s="16">
        <v>330237</v>
      </c>
      <c r="C397" s="16">
        <v>330237</v>
      </c>
      <c r="D397" s="16">
        <v>330237</v>
      </c>
      <c r="E397" s="16">
        <v>318646.94</v>
      </c>
      <c r="F397" s="17">
        <f t="shared" si="19"/>
        <v>1</v>
      </c>
      <c r="G397" s="17">
        <f t="shared" si="18"/>
        <v>1</v>
      </c>
    </row>
    <row r="398" spans="1:7" ht="24" x14ac:dyDescent="0.25">
      <c r="A398" s="13" t="s">
        <v>151</v>
      </c>
      <c r="B398" s="14">
        <v>1589727</v>
      </c>
      <c r="C398" s="14">
        <v>1589727</v>
      </c>
      <c r="D398" s="14">
        <v>1589727</v>
      </c>
      <c r="E398" s="14">
        <v>1414277.13</v>
      </c>
      <c r="F398" s="34">
        <f t="shared" si="19"/>
        <v>1</v>
      </c>
      <c r="G398" s="34">
        <f t="shared" si="18"/>
        <v>1</v>
      </c>
    </row>
    <row r="399" spans="1:7" x14ac:dyDescent="0.25">
      <c r="A399" s="15" t="s">
        <v>14</v>
      </c>
      <c r="B399" s="16">
        <v>1303055</v>
      </c>
      <c r="C399" s="16">
        <v>1303055</v>
      </c>
      <c r="D399" s="16">
        <v>1303055</v>
      </c>
      <c r="E399" s="16">
        <v>1159243.54</v>
      </c>
      <c r="F399" s="17">
        <f t="shared" si="19"/>
        <v>1</v>
      </c>
      <c r="G399" s="17">
        <f t="shared" si="18"/>
        <v>1</v>
      </c>
    </row>
    <row r="400" spans="1:7" x14ac:dyDescent="0.25">
      <c r="A400" s="15" t="s">
        <v>15</v>
      </c>
      <c r="B400" s="16">
        <v>286672</v>
      </c>
      <c r="C400" s="16">
        <v>286672</v>
      </c>
      <c r="D400" s="16">
        <v>286672</v>
      </c>
      <c r="E400" s="16">
        <v>255033.59</v>
      </c>
      <c r="F400" s="17">
        <f t="shared" si="19"/>
        <v>1</v>
      </c>
      <c r="G400" s="17">
        <f t="shared" si="18"/>
        <v>1</v>
      </c>
    </row>
    <row r="401" spans="1:7" ht="24" x14ac:dyDescent="0.25">
      <c r="A401" s="13" t="s">
        <v>153</v>
      </c>
      <c r="B401" s="14">
        <v>979705</v>
      </c>
      <c r="C401" s="14">
        <v>979705</v>
      </c>
      <c r="D401" s="14">
        <v>979705</v>
      </c>
      <c r="E401" s="14">
        <v>900732.2</v>
      </c>
      <c r="F401" s="34">
        <f t="shared" si="19"/>
        <v>1</v>
      </c>
      <c r="G401" s="34">
        <f t="shared" si="18"/>
        <v>1</v>
      </c>
    </row>
    <row r="402" spans="1:7" x14ac:dyDescent="0.25">
      <c r="A402" s="15" t="s">
        <v>14</v>
      </c>
      <c r="B402" s="16">
        <v>803037</v>
      </c>
      <c r="C402" s="16">
        <v>803037</v>
      </c>
      <c r="D402" s="16">
        <v>803037</v>
      </c>
      <c r="E402" s="16">
        <v>738305.03</v>
      </c>
      <c r="F402" s="17">
        <f t="shared" si="19"/>
        <v>1</v>
      </c>
      <c r="G402" s="17">
        <f t="shared" si="18"/>
        <v>1</v>
      </c>
    </row>
    <row r="403" spans="1:7" x14ac:dyDescent="0.25">
      <c r="A403" s="15" t="s">
        <v>15</v>
      </c>
      <c r="B403" s="16">
        <v>176668</v>
      </c>
      <c r="C403" s="16">
        <v>176668</v>
      </c>
      <c r="D403" s="16">
        <v>176668</v>
      </c>
      <c r="E403" s="16">
        <v>162427.17000000001</v>
      </c>
      <c r="F403" s="17">
        <f t="shared" si="19"/>
        <v>1</v>
      </c>
      <c r="G403" s="17">
        <f t="shared" si="18"/>
        <v>1</v>
      </c>
    </row>
    <row r="404" spans="1:7" x14ac:dyDescent="0.25">
      <c r="A404" s="13" t="s">
        <v>154</v>
      </c>
      <c r="B404" s="14">
        <v>1631858</v>
      </c>
      <c r="C404" s="14">
        <v>1631858</v>
      </c>
      <c r="D404" s="14">
        <v>1631858</v>
      </c>
      <c r="E404" s="14">
        <v>1564442.52</v>
      </c>
      <c r="F404" s="34">
        <f t="shared" si="19"/>
        <v>1</v>
      </c>
      <c r="G404" s="34">
        <f t="shared" si="18"/>
        <v>1</v>
      </c>
    </row>
    <row r="405" spans="1:7" x14ac:dyDescent="0.25">
      <c r="A405" s="15" t="s">
        <v>14</v>
      </c>
      <c r="B405" s="16">
        <v>1337588</v>
      </c>
      <c r="C405" s="16">
        <v>1337588</v>
      </c>
      <c r="D405" s="16">
        <v>1337588</v>
      </c>
      <c r="E405" s="16">
        <v>1282329.93</v>
      </c>
      <c r="F405" s="17">
        <f t="shared" si="19"/>
        <v>1</v>
      </c>
      <c r="G405" s="17">
        <f t="shared" si="18"/>
        <v>1</v>
      </c>
    </row>
    <row r="406" spans="1:7" x14ac:dyDescent="0.25">
      <c r="A406" s="15" t="s">
        <v>15</v>
      </c>
      <c r="B406" s="16">
        <v>294270</v>
      </c>
      <c r="C406" s="16">
        <v>294270</v>
      </c>
      <c r="D406" s="16">
        <v>294270</v>
      </c>
      <c r="E406" s="16">
        <v>282112.59000000003</v>
      </c>
      <c r="F406" s="17">
        <f t="shared" si="19"/>
        <v>1</v>
      </c>
      <c r="G406" s="17">
        <f t="shared" si="18"/>
        <v>1</v>
      </c>
    </row>
    <row r="407" spans="1:7" ht="24" x14ac:dyDescent="0.25">
      <c r="A407" s="13" t="s">
        <v>157</v>
      </c>
      <c r="B407" s="14">
        <v>1818349</v>
      </c>
      <c r="C407" s="14">
        <v>1818349</v>
      </c>
      <c r="D407" s="14">
        <v>1818349</v>
      </c>
      <c r="E407" s="14">
        <v>1695713.48</v>
      </c>
      <c r="F407" s="34">
        <f t="shared" si="19"/>
        <v>1</v>
      </c>
      <c r="G407" s="34">
        <f t="shared" si="18"/>
        <v>1</v>
      </c>
    </row>
    <row r="408" spans="1:7" x14ac:dyDescent="0.25">
      <c r="A408" s="15" t="s">
        <v>14</v>
      </c>
      <c r="B408" s="16">
        <v>1490450</v>
      </c>
      <c r="C408" s="16">
        <v>1490450</v>
      </c>
      <c r="D408" s="16">
        <v>1490450</v>
      </c>
      <c r="E408" s="16">
        <v>1389929.06</v>
      </c>
      <c r="F408" s="17">
        <f t="shared" si="19"/>
        <v>1</v>
      </c>
      <c r="G408" s="17">
        <f t="shared" si="18"/>
        <v>1</v>
      </c>
    </row>
    <row r="409" spans="1:7" x14ac:dyDescent="0.25">
      <c r="A409" s="15" t="s">
        <v>15</v>
      </c>
      <c r="B409" s="16">
        <v>327899</v>
      </c>
      <c r="C409" s="16">
        <v>327899</v>
      </c>
      <c r="D409" s="16">
        <v>327899</v>
      </c>
      <c r="E409" s="16">
        <v>305784.42</v>
      </c>
      <c r="F409" s="17">
        <f t="shared" si="19"/>
        <v>1</v>
      </c>
      <c r="G409" s="17">
        <f t="shared" si="18"/>
        <v>1</v>
      </c>
    </row>
    <row r="410" spans="1:7" ht="24" x14ac:dyDescent="0.25">
      <c r="A410" s="13" t="s">
        <v>146</v>
      </c>
      <c r="B410" s="14">
        <v>34194352</v>
      </c>
      <c r="C410" s="14">
        <v>34194352</v>
      </c>
      <c r="D410" s="14">
        <v>34194352</v>
      </c>
      <c r="E410" s="14">
        <v>27412038.949999999</v>
      </c>
      <c r="F410" s="34">
        <f t="shared" si="19"/>
        <v>1</v>
      </c>
      <c r="G410" s="34">
        <f t="shared" si="18"/>
        <v>1</v>
      </c>
    </row>
    <row r="411" spans="1:7" x14ac:dyDescent="0.25">
      <c r="A411" s="15" t="s">
        <v>14</v>
      </c>
      <c r="B411" s="16">
        <v>28028198</v>
      </c>
      <c r="C411" s="16">
        <v>28028198</v>
      </c>
      <c r="D411" s="16">
        <v>28028198</v>
      </c>
      <c r="E411" s="16">
        <v>22468884.390000001</v>
      </c>
      <c r="F411" s="17">
        <f t="shared" si="19"/>
        <v>1</v>
      </c>
      <c r="G411" s="17">
        <f t="shared" si="18"/>
        <v>1</v>
      </c>
    </row>
    <row r="412" spans="1:7" x14ac:dyDescent="0.25">
      <c r="A412" s="15" t="s">
        <v>15</v>
      </c>
      <c r="B412" s="16">
        <v>6166154</v>
      </c>
      <c r="C412" s="16">
        <v>6166154</v>
      </c>
      <c r="D412" s="16">
        <v>6166154</v>
      </c>
      <c r="E412" s="16">
        <v>4943154.5599999996</v>
      </c>
      <c r="F412" s="17">
        <f t="shared" si="19"/>
        <v>1</v>
      </c>
      <c r="G412" s="17">
        <f t="shared" si="18"/>
        <v>1</v>
      </c>
    </row>
    <row r="413" spans="1:7" x14ac:dyDescent="0.25">
      <c r="A413" s="35" t="s">
        <v>74</v>
      </c>
      <c r="B413" s="36">
        <f>B414+B427+B431+B442+B453+B456+B465</f>
        <v>79191394</v>
      </c>
      <c r="C413" s="36">
        <f>C414+C427+C431+C442+C453+C456+C465</f>
        <v>41000556</v>
      </c>
      <c r="D413" s="36">
        <f t="shared" ref="D413:E413" si="20">D414+D427+D431+D442+D453+D456+D465</f>
        <v>37698338.940000005</v>
      </c>
      <c r="E413" s="36">
        <f t="shared" si="20"/>
        <v>37660424.240000002</v>
      </c>
      <c r="F413" s="9">
        <f t="shared" si="19"/>
        <v>0.91945921269945718</v>
      </c>
      <c r="G413" s="9">
        <f t="shared" si="18"/>
        <v>0.4760408553990097</v>
      </c>
    </row>
    <row r="414" spans="1:7" ht="24" x14ac:dyDescent="0.25">
      <c r="A414" s="10" t="s">
        <v>184</v>
      </c>
      <c r="B414" s="11">
        <v>35275843</v>
      </c>
      <c r="C414" s="11">
        <v>18614221</v>
      </c>
      <c r="D414" s="11">
        <v>17230905.739999998</v>
      </c>
      <c r="E414" s="11">
        <v>17204791.739999998</v>
      </c>
      <c r="F414" s="12">
        <f t="shared" si="19"/>
        <v>0.9256850308159551</v>
      </c>
      <c r="G414" s="12">
        <f t="shared" si="18"/>
        <v>0.48846191258987059</v>
      </c>
    </row>
    <row r="415" spans="1:7" ht="24" x14ac:dyDescent="0.25">
      <c r="A415" s="13" t="s">
        <v>185</v>
      </c>
      <c r="B415" s="14">
        <v>35275843</v>
      </c>
      <c r="C415" s="14">
        <v>18614221</v>
      </c>
      <c r="D415" s="14">
        <v>17230905.739999998</v>
      </c>
      <c r="E415" s="14">
        <v>17204791.739999998</v>
      </c>
      <c r="F415" s="34">
        <f t="shared" si="19"/>
        <v>0.9256850308159551</v>
      </c>
      <c r="G415" s="34">
        <f t="shared" si="18"/>
        <v>0.48846191258987059</v>
      </c>
    </row>
    <row r="416" spans="1:7" x14ac:dyDescent="0.25">
      <c r="A416" s="15" t="s">
        <v>14</v>
      </c>
      <c r="B416" s="16">
        <v>23476702</v>
      </c>
      <c r="C416" s="16">
        <v>12501400</v>
      </c>
      <c r="D416" s="16">
        <v>12492392.93</v>
      </c>
      <c r="E416" s="16">
        <v>12492392.93</v>
      </c>
      <c r="F416" s="12">
        <f t="shared" si="19"/>
        <v>0.99927951509430946</v>
      </c>
      <c r="G416" s="12">
        <f t="shared" si="18"/>
        <v>0.5321187332871542</v>
      </c>
    </row>
    <row r="417" spans="1:7" x14ac:dyDescent="0.25">
      <c r="A417" s="15" t="s">
        <v>15</v>
      </c>
      <c r="B417" s="16">
        <v>5164874</v>
      </c>
      <c r="C417" s="16">
        <v>2750308</v>
      </c>
      <c r="D417" s="16">
        <v>2684644.46</v>
      </c>
      <c r="E417" s="16">
        <v>2684644.46</v>
      </c>
      <c r="F417" s="12">
        <f t="shared" si="19"/>
        <v>0.97612502308832316</v>
      </c>
      <c r="G417" s="12">
        <f t="shared" si="18"/>
        <v>0.5197889551613456</v>
      </c>
    </row>
    <row r="418" spans="1:7" x14ac:dyDescent="0.25">
      <c r="A418" s="15" t="s">
        <v>16</v>
      </c>
      <c r="B418" s="16">
        <v>1868917</v>
      </c>
      <c r="C418" s="16">
        <v>920000</v>
      </c>
      <c r="D418" s="16">
        <v>417143.35</v>
      </c>
      <c r="E418" s="16">
        <v>391029.35</v>
      </c>
      <c r="F418" s="12">
        <f t="shared" si="19"/>
        <v>0.45341668478260866</v>
      </c>
      <c r="G418" s="12">
        <f t="shared" si="18"/>
        <v>0.2232005755204752</v>
      </c>
    </row>
    <row r="419" spans="1:7" x14ac:dyDescent="0.25">
      <c r="A419" s="15" t="s">
        <v>36</v>
      </c>
      <c r="B419" s="16">
        <v>200000</v>
      </c>
      <c r="C419" s="16">
        <v>100000</v>
      </c>
      <c r="D419" s="16">
        <v>85033.32</v>
      </c>
      <c r="E419" s="16">
        <v>85033.32</v>
      </c>
      <c r="F419" s="12">
        <f t="shared" si="19"/>
        <v>0.85033320000000012</v>
      </c>
      <c r="G419" s="12">
        <f t="shared" si="18"/>
        <v>0.42516660000000006</v>
      </c>
    </row>
    <row r="420" spans="1:7" x14ac:dyDescent="0.25">
      <c r="A420" s="15" t="s">
        <v>42</v>
      </c>
      <c r="B420" s="16">
        <v>1213716</v>
      </c>
      <c r="C420" s="16">
        <v>666456</v>
      </c>
      <c r="D420" s="16">
        <v>516381</v>
      </c>
      <c r="E420" s="16">
        <v>516381</v>
      </c>
      <c r="F420" s="12">
        <f t="shared" si="19"/>
        <v>0.77481634196406068</v>
      </c>
      <c r="G420" s="12">
        <f t="shared" si="18"/>
        <v>0.42545455444271973</v>
      </c>
    </row>
    <row r="421" spans="1:7" x14ac:dyDescent="0.25">
      <c r="A421" s="15" t="s">
        <v>17</v>
      </c>
      <c r="B421" s="16">
        <v>855300</v>
      </c>
      <c r="C421" s="16">
        <v>300000</v>
      </c>
      <c r="D421" s="16">
        <v>256690.96</v>
      </c>
      <c r="E421" s="16">
        <v>256690.96</v>
      </c>
      <c r="F421" s="12">
        <f t="shared" si="19"/>
        <v>0.85563653333333334</v>
      </c>
      <c r="G421" s="12">
        <f t="shared" si="18"/>
        <v>0.30011804045364199</v>
      </c>
    </row>
    <row r="422" spans="1:7" x14ac:dyDescent="0.25">
      <c r="A422" s="15" t="s">
        <v>18</v>
      </c>
      <c r="B422" s="16">
        <v>1768286</v>
      </c>
      <c r="C422" s="16">
        <v>1015307</v>
      </c>
      <c r="D422" s="16">
        <v>628838.67000000004</v>
      </c>
      <c r="E422" s="16">
        <v>628838.67000000004</v>
      </c>
      <c r="F422" s="12">
        <f t="shared" si="19"/>
        <v>0.61935815472561506</v>
      </c>
      <c r="G422" s="12">
        <f t="shared" si="18"/>
        <v>0.35562045393109487</v>
      </c>
    </row>
    <row r="423" spans="1:7" x14ac:dyDescent="0.25">
      <c r="A423" s="15" t="s">
        <v>19</v>
      </c>
      <c r="B423" s="16">
        <v>44466</v>
      </c>
      <c r="C423" s="16">
        <v>22200</v>
      </c>
      <c r="D423" s="16">
        <v>10814.21</v>
      </c>
      <c r="E423" s="16">
        <v>10814.21</v>
      </c>
      <c r="F423" s="12">
        <f t="shared" si="19"/>
        <v>0.48712657657657654</v>
      </c>
      <c r="G423" s="12">
        <f t="shared" si="18"/>
        <v>0.24320177214051183</v>
      </c>
    </row>
    <row r="424" spans="1:7" x14ac:dyDescent="0.25">
      <c r="A424" s="15" t="s">
        <v>20</v>
      </c>
      <c r="B424" s="16">
        <v>639000</v>
      </c>
      <c r="C424" s="16">
        <v>320250</v>
      </c>
      <c r="D424" s="16">
        <v>121276</v>
      </c>
      <c r="E424" s="16">
        <v>121276</v>
      </c>
      <c r="F424" s="12">
        <f t="shared" si="19"/>
        <v>0.37869164715066356</v>
      </c>
      <c r="G424" s="12">
        <f t="shared" si="18"/>
        <v>0.18979029733959313</v>
      </c>
    </row>
    <row r="425" spans="1:7" x14ac:dyDescent="0.25">
      <c r="A425" s="15" t="s">
        <v>32</v>
      </c>
      <c r="B425" s="16">
        <v>12582</v>
      </c>
      <c r="C425" s="16">
        <v>6300</v>
      </c>
      <c r="D425" s="16">
        <v>6290.84</v>
      </c>
      <c r="E425" s="16">
        <v>6290.84</v>
      </c>
      <c r="F425" s="12">
        <f t="shared" si="19"/>
        <v>0.99854603174603174</v>
      </c>
      <c r="G425" s="12">
        <f t="shared" si="18"/>
        <v>0.49998728342075982</v>
      </c>
    </row>
    <row r="426" spans="1:7" ht="24" x14ac:dyDescent="0.25">
      <c r="A426" s="15" t="s">
        <v>21</v>
      </c>
      <c r="B426" s="16">
        <v>32000</v>
      </c>
      <c r="C426" s="16">
        <v>12000</v>
      </c>
      <c r="D426" s="16">
        <v>11400</v>
      </c>
      <c r="E426" s="16">
        <v>11400</v>
      </c>
      <c r="F426" s="12">
        <f t="shared" si="19"/>
        <v>0.95</v>
      </c>
      <c r="G426" s="12">
        <f t="shared" si="18"/>
        <v>0.35625000000000001</v>
      </c>
    </row>
    <row r="427" spans="1:7" ht="36" x14ac:dyDescent="0.25">
      <c r="A427" s="10" t="s">
        <v>186</v>
      </c>
      <c r="B427" s="11">
        <v>181600</v>
      </c>
      <c r="C427" s="11">
        <v>181600</v>
      </c>
      <c r="D427" s="11">
        <v>78335</v>
      </c>
      <c r="E427" s="11">
        <v>78335</v>
      </c>
      <c r="F427" s="12">
        <f t="shared" si="19"/>
        <v>0.43136013215859031</v>
      </c>
      <c r="G427" s="12">
        <f t="shared" si="18"/>
        <v>0.43136013215859031</v>
      </c>
    </row>
    <row r="428" spans="1:7" ht="24" x14ac:dyDescent="0.25">
      <c r="A428" s="13" t="s">
        <v>142</v>
      </c>
      <c r="B428" s="14">
        <v>181600</v>
      </c>
      <c r="C428" s="14">
        <v>181600</v>
      </c>
      <c r="D428" s="14">
        <v>78335</v>
      </c>
      <c r="E428" s="14">
        <v>78335</v>
      </c>
      <c r="F428" s="34">
        <f t="shared" si="19"/>
        <v>0.43136013215859031</v>
      </c>
      <c r="G428" s="34">
        <f t="shared" si="18"/>
        <v>0.43136013215859031</v>
      </c>
    </row>
    <row r="429" spans="1:7" x14ac:dyDescent="0.25">
      <c r="A429" s="15" t="s">
        <v>16</v>
      </c>
      <c r="B429" s="16">
        <v>101600</v>
      </c>
      <c r="C429" s="16">
        <v>101600</v>
      </c>
      <c r="D429" s="16">
        <v>14681</v>
      </c>
      <c r="E429" s="16">
        <v>14681</v>
      </c>
      <c r="F429" s="17">
        <f t="shared" si="19"/>
        <v>0.144498031496063</v>
      </c>
      <c r="G429" s="17">
        <f t="shared" si="18"/>
        <v>0.144498031496063</v>
      </c>
    </row>
    <row r="430" spans="1:7" x14ac:dyDescent="0.25">
      <c r="A430" s="15" t="s">
        <v>17</v>
      </c>
      <c r="B430" s="16">
        <v>80000</v>
      </c>
      <c r="C430" s="16">
        <v>80000</v>
      </c>
      <c r="D430" s="16">
        <v>63654</v>
      </c>
      <c r="E430" s="16">
        <v>63654</v>
      </c>
      <c r="F430" s="17">
        <f t="shared" si="19"/>
        <v>0.79567500000000002</v>
      </c>
      <c r="G430" s="17">
        <f t="shared" si="18"/>
        <v>0.79567500000000002</v>
      </c>
    </row>
    <row r="431" spans="1:7" ht="60" x14ac:dyDescent="0.25">
      <c r="A431" s="13" t="s">
        <v>187</v>
      </c>
      <c r="B431" s="14">
        <v>10802665</v>
      </c>
      <c r="C431" s="14">
        <f>C432</f>
        <v>5451145</v>
      </c>
      <c r="D431" s="14">
        <v>5167378.51</v>
      </c>
      <c r="E431" s="14">
        <v>5155577.8099999996</v>
      </c>
      <c r="F431" s="34">
        <f t="shared" si="19"/>
        <v>0.94794369072919538</v>
      </c>
      <c r="G431" s="34">
        <f t="shared" si="18"/>
        <v>0.47834293759919427</v>
      </c>
    </row>
    <row r="432" spans="1:7" ht="24" x14ac:dyDescent="0.25">
      <c r="A432" s="13" t="s">
        <v>188</v>
      </c>
      <c r="B432" s="14">
        <v>10802665</v>
      </c>
      <c r="C432" s="11">
        <v>5451145</v>
      </c>
      <c r="D432" s="14">
        <v>5167378.51</v>
      </c>
      <c r="E432" s="14">
        <v>5155577.8099999996</v>
      </c>
      <c r="F432" s="34">
        <f t="shared" si="19"/>
        <v>0.94794369072919538</v>
      </c>
      <c r="G432" s="34">
        <f t="shared" si="18"/>
        <v>0.47834293759919427</v>
      </c>
    </row>
    <row r="433" spans="1:7" x14ac:dyDescent="0.25">
      <c r="A433" s="15" t="s">
        <v>14</v>
      </c>
      <c r="B433" s="16">
        <v>8199602</v>
      </c>
      <c r="C433" s="16">
        <v>4043200</v>
      </c>
      <c r="D433" s="16">
        <v>4018576.85</v>
      </c>
      <c r="E433" s="16">
        <v>4018576.85</v>
      </c>
      <c r="F433" s="17">
        <f t="shared" si="19"/>
        <v>0.99390998466561142</v>
      </c>
      <c r="G433" s="17">
        <f t="shared" si="18"/>
        <v>0.49009413505679911</v>
      </c>
    </row>
    <row r="434" spans="1:7" x14ac:dyDescent="0.25">
      <c r="A434" s="15" t="s">
        <v>15</v>
      </c>
      <c r="B434" s="16">
        <v>1803913</v>
      </c>
      <c r="C434" s="16">
        <v>889504</v>
      </c>
      <c r="D434" s="16">
        <v>832708.16</v>
      </c>
      <c r="E434" s="16">
        <v>832708.16</v>
      </c>
      <c r="F434" s="17">
        <f t="shared" si="19"/>
        <v>0.93614886498543015</v>
      </c>
      <c r="G434" s="17">
        <f t="shared" si="18"/>
        <v>0.46161215091858643</v>
      </c>
    </row>
    <row r="435" spans="1:7" x14ac:dyDescent="0.25">
      <c r="A435" s="15" t="s">
        <v>16</v>
      </c>
      <c r="B435" s="16">
        <v>196640</v>
      </c>
      <c r="C435" s="16">
        <v>191140</v>
      </c>
      <c r="D435" s="16">
        <v>121222</v>
      </c>
      <c r="E435" s="16">
        <v>121222</v>
      </c>
      <c r="F435" s="17">
        <f t="shared" si="19"/>
        <v>0.6342052945484985</v>
      </c>
      <c r="G435" s="17">
        <f t="shared" si="18"/>
        <v>0.616466639544345</v>
      </c>
    </row>
    <row r="436" spans="1:7" x14ac:dyDescent="0.25">
      <c r="A436" s="15" t="s">
        <v>17</v>
      </c>
      <c r="B436" s="16">
        <v>183896</v>
      </c>
      <c r="C436" s="16">
        <v>104196</v>
      </c>
      <c r="D436" s="16">
        <v>65704.759999999995</v>
      </c>
      <c r="E436" s="16">
        <v>53904.06</v>
      </c>
      <c r="F436" s="17">
        <f t="shared" si="19"/>
        <v>0.63058812238473638</v>
      </c>
      <c r="G436" s="17">
        <f t="shared" si="18"/>
        <v>0.35729303519380518</v>
      </c>
    </row>
    <row r="437" spans="1:7" x14ac:dyDescent="0.25">
      <c r="A437" s="15" t="s">
        <v>26</v>
      </c>
      <c r="B437" s="16">
        <v>19500</v>
      </c>
      <c r="C437" s="16">
        <v>7800</v>
      </c>
      <c r="D437" s="16">
        <v>5220</v>
      </c>
      <c r="E437" s="16">
        <v>5220</v>
      </c>
      <c r="F437" s="17">
        <f t="shared" si="19"/>
        <v>0.66923076923076918</v>
      </c>
      <c r="G437" s="17">
        <f t="shared" si="18"/>
        <v>0.26769230769230767</v>
      </c>
    </row>
    <row r="438" spans="1:7" x14ac:dyDescent="0.25">
      <c r="A438" s="15" t="s">
        <v>18</v>
      </c>
      <c r="B438" s="16">
        <v>173164</v>
      </c>
      <c r="C438" s="16">
        <v>102327</v>
      </c>
      <c r="D438" s="16">
        <v>69274.94</v>
      </c>
      <c r="E438" s="16">
        <v>69274.94</v>
      </c>
      <c r="F438" s="17">
        <f t="shared" si="19"/>
        <v>0.67699570983220458</v>
      </c>
      <c r="G438" s="17">
        <f t="shared" si="18"/>
        <v>0.4000539373079855</v>
      </c>
    </row>
    <row r="439" spans="1:7" x14ac:dyDescent="0.25">
      <c r="A439" s="15" t="s">
        <v>19</v>
      </c>
      <c r="B439" s="16">
        <v>15203</v>
      </c>
      <c r="C439" s="16">
        <v>7602</v>
      </c>
      <c r="D439" s="16">
        <v>6210.8</v>
      </c>
      <c r="E439" s="16">
        <v>6210.8</v>
      </c>
      <c r="F439" s="17">
        <f t="shared" si="19"/>
        <v>0.81699552749276505</v>
      </c>
      <c r="G439" s="17">
        <f t="shared" si="18"/>
        <v>0.40852463329605998</v>
      </c>
    </row>
    <row r="440" spans="1:7" x14ac:dyDescent="0.25">
      <c r="A440" s="15" t="s">
        <v>20</v>
      </c>
      <c r="B440" s="16">
        <v>200000</v>
      </c>
      <c r="C440" s="16">
        <v>100000</v>
      </c>
      <c r="D440" s="16">
        <v>43087.7</v>
      </c>
      <c r="E440" s="16">
        <v>43087.7</v>
      </c>
      <c r="F440" s="17">
        <f t="shared" si="19"/>
        <v>0.43087699999999995</v>
      </c>
      <c r="G440" s="17">
        <f t="shared" si="18"/>
        <v>0.21543849999999998</v>
      </c>
    </row>
    <row r="441" spans="1:7" x14ac:dyDescent="0.25">
      <c r="A441" s="15" t="s">
        <v>32</v>
      </c>
      <c r="B441" s="16">
        <v>10747</v>
      </c>
      <c r="C441" s="16">
        <v>5376</v>
      </c>
      <c r="D441" s="16">
        <v>5373.3</v>
      </c>
      <c r="E441" s="16">
        <v>5373.3</v>
      </c>
      <c r="F441" s="17">
        <f t="shared" si="19"/>
        <v>0.99949776785714284</v>
      </c>
      <c r="G441" s="17">
        <f t="shared" si="18"/>
        <v>0.49998139015539222</v>
      </c>
    </row>
    <row r="442" spans="1:7" ht="36" x14ac:dyDescent="0.25">
      <c r="A442" s="10" t="s">
        <v>189</v>
      </c>
      <c r="B442" s="11">
        <v>23595835</v>
      </c>
      <c r="C442" s="11">
        <v>12605723</v>
      </c>
      <c r="D442" s="11">
        <v>11457436.810000001</v>
      </c>
      <c r="E442" s="11">
        <v>11457436.810000001</v>
      </c>
      <c r="F442" s="12">
        <f t="shared" si="19"/>
        <v>0.90890755016590485</v>
      </c>
      <c r="G442" s="12">
        <f t="shared" si="18"/>
        <v>0.48557030552213987</v>
      </c>
    </row>
    <row r="443" spans="1:7" ht="24" x14ac:dyDescent="0.25">
      <c r="A443" s="13" t="s">
        <v>190</v>
      </c>
      <c r="B443" s="14">
        <v>23595835</v>
      </c>
      <c r="C443" s="14">
        <v>12605723</v>
      </c>
      <c r="D443" s="14">
        <v>11457436.810000001</v>
      </c>
      <c r="E443" s="14">
        <v>11457436.810000001</v>
      </c>
      <c r="F443" s="34">
        <f t="shared" si="19"/>
        <v>0.90890755016590485</v>
      </c>
      <c r="G443" s="34">
        <f t="shared" si="18"/>
        <v>0.48557030552213987</v>
      </c>
    </row>
    <row r="444" spans="1:7" x14ac:dyDescent="0.25">
      <c r="A444" s="15" t="s">
        <v>14</v>
      </c>
      <c r="B444" s="16">
        <v>15581015</v>
      </c>
      <c r="C444" s="16">
        <v>8131015</v>
      </c>
      <c r="D444" s="16">
        <v>8085185.4699999997</v>
      </c>
      <c r="E444" s="16">
        <v>8085185.4699999997</v>
      </c>
      <c r="F444" s="17">
        <f t="shared" si="19"/>
        <v>0.99436361512062144</v>
      </c>
      <c r="G444" s="17">
        <f t="shared" si="18"/>
        <v>0.51891262988964448</v>
      </c>
    </row>
    <row r="445" spans="1:7" x14ac:dyDescent="0.25">
      <c r="A445" s="15" t="s">
        <v>15</v>
      </c>
      <c r="B445" s="16">
        <v>3427823</v>
      </c>
      <c r="C445" s="16">
        <v>1788823</v>
      </c>
      <c r="D445" s="16">
        <v>1788269.13</v>
      </c>
      <c r="E445" s="16">
        <v>1788269.13</v>
      </c>
      <c r="F445" s="17">
        <f t="shared" si="19"/>
        <v>0.99969037182549636</v>
      </c>
      <c r="G445" s="17">
        <f t="shared" si="18"/>
        <v>0.52169237734853868</v>
      </c>
    </row>
    <row r="446" spans="1:7" x14ac:dyDescent="0.25">
      <c r="A446" s="15" t="s">
        <v>16</v>
      </c>
      <c r="B446" s="16">
        <v>500000</v>
      </c>
      <c r="C446" s="16">
        <v>310000</v>
      </c>
      <c r="D446" s="16">
        <v>263969.86</v>
      </c>
      <c r="E446" s="16">
        <v>263969.86</v>
      </c>
      <c r="F446" s="17">
        <f t="shared" si="19"/>
        <v>0.85151567741935474</v>
      </c>
      <c r="G446" s="17">
        <f t="shared" si="18"/>
        <v>0.52793972</v>
      </c>
    </row>
    <row r="447" spans="1:7" x14ac:dyDescent="0.25">
      <c r="A447" s="15" t="s">
        <v>17</v>
      </c>
      <c r="B447" s="16">
        <v>892213</v>
      </c>
      <c r="C447" s="16">
        <v>524000</v>
      </c>
      <c r="D447" s="16">
        <v>237750.72</v>
      </c>
      <c r="E447" s="16">
        <v>237750.72</v>
      </c>
      <c r="F447" s="17">
        <f t="shared" si="19"/>
        <v>0.45372274809160307</v>
      </c>
      <c r="G447" s="17">
        <f t="shared" si="18"/>
        <v>0.26647305071770977</v>
      </c>
    </row>
    <row r="448" spans="1:7" x14ac:dyDescent="0.25">
      <c r="A448" s="15" t="s">
        <v>18</v>
      </c>
      <c r="B448" s="16">
        <v>1945790</v>
      </c>
      <c r="C448" s="16">
        <v>1134416</v>
      </c>
      <c r="D448" s="16">
        <v>663770.97</v>
      </c>
      <c r="E448" s="16">
        <v>663770.97</v>
      </c>
      <c r="F448" s="17">
        <f t="shared" si="19"/>
        <v>0.58512130470656265</v>
      </c>
      <c r="G448" s="17">
        <f t="shared" si="18"/>
        <v>0.34113186417855984</v>
      </c>
    </row>
    <row r="449" spans="1:7" x14ac:dyDescent="0.25">
      <c r="A449" s="15" t="s">
        <v>19</v>
      </c>
      <c r="B449" s="16">
        <v>279037</v>
      </c>
      <c r="C449" s="16">
        <v>152441</v>
      </c>
      <c r="D449" s="16">
        <v>84975.679999999993</v>
      </c>
      <c r="E449" s="16">
        <v>84975.679999999993</v>
      </c>
      <c r="F449" s="17">
        <f t="shared" si="19"/>
        <v>0.55743323646525533</v>
      </c>
      <c r="G449" s="17">
        <f t="shared" si="18"/>
        <v>0.30453194379240028</v>
      </c>
    </row>
    <row r="450" spans="1:7" x14ac:dyDescent="0.25">
      <c r="A450" s="15" t="s">
        <v>20</v>
      </c>
      <c r="B450" s="16">
        <v>929857</v>
      </c>
      <c r="C450" s="16">
        <v>539934</v>
      </c>
      <c r="D450" s="16">
        <v>324749.13</v>
      </c>
      <c r="E450" s="16">
        <v>324749.13</v>
      </c>
      <c r="F450" s="17">
        <f t="shared" si="19"/>
        <v>0.60146078965206862</v>
      </c>
      <c r="G450" s="17">
        <f t="shared" si="18"/>
        <v>0.34924631421820773</v>
      </c>
    </row>
    <row r="451" spans="1:7" x14ac:dyDescent="0.25">
      <c r="A451" s="15" t="s">
        <v>32</v>
      </c>
      <c r="B451" s="16">
        <v>30000</v>
      </c>
      <c r="C451" s="16">
        <v>14994</v>
      </c>
      <c r="D451" s="16">
        <v>8765.85</v>
      </c>
      <c r="E451" s="16">
        <v>8765.85</v>
      </c>
      <c r="F451" s="17">
        <f t="shared" si="19"/>
        <v>0.58462384953981594</v>
      </c>
      <c r="G451" s="17">
        <f t="shared" si="18"/>
        <v>0.29219500000000004</v>
      </c>
    </row>
    <row r="452" spans="1:7" ht="24" x14ac:dyDescent="0.25">
      <c r="A452" s="15" t="s">
        <v>21</v>
      </c>
      <c r="B452" s="16">
        <v>10100</v>
      </c>
      <c r="C452" s="16">
        <v>10100</v>
      </c>
      <c r="D452" s="18"/>
      <c r="E452" s="18"/>
      <c r="F452" s="17">
        <f t="shared" si="19"/>
        <v>0</v>
      </c>
      <c r="G452" s="17">
        <f t="shared" si="18"/>
        <v>0</v>
      </c>
    </row>
    <row r="453" spans="1:7" ht="36" x14ac:dyDescent="0.25">
      <c r="A453" s="10" t="s">
        <v>191</v>
      </c>
      <c r="B453" s="11">
        <v>66800</v>
      </c>
      <c r="C453" s="11">
        <v>12230</v>
      </c>
      <c r="D453" s="11">
        <v>12230</v>
      </c>
      <c r="E453" s="11">
        <v>12230</v>
      </c>
      <c r="F453" s="12">
        <f t="shared" si="19"/>
        <v>1</v>
      </c>
      <c r="G453" s="12">
        <f t="shared" si="18"/>
        <v>0.18308383233532935</v>
      </c>
    </row>
    <row r="454" spans="1:7" ht="24" x14ac:dyDescent="0.25">
      <c r="A454" s="13" t="s">
        <v>140</v>
      </c>
      <c r="B454" s="14">
        <v>66800</v>
      </c>
      <c r="C454" s="14">
        <v>12230</v>
      </c>
      <c r="D454" s="14">
        <v>12230</v>
      </c>
      <c r="E454" s="14">
        <v>12230</v>
      </c>
      <c r="F454" s="34">
        <f t="shared" si="19"/>
        <v>1</v>
      </c>
      <c r="G454" s="34">
        <f t="shared" si="18"/>
        <v>0.18308383233532935</v>
      </c>
    </row>
    <row r="455" spans="1:7" x14ac:dyDescent="0.25">
      <c r="A455" s="15" t="s">
        <v>16</v>
      </c>
      <c r="B455" s="16">
        <v>66800</v>
      </c>
      <c r="C455" s="16">
        <v>12230</v>
      </c>
      <c r="D455" s="16">
        <v>12230</v>
      </c>
      <c r="E455" s="16">
        <v>12230</v>
      </c>
      <c r="F455" s="17">
        <f t="shared" si="19"/>
        <v>1</v>
      </c>
      <c r="G455" s="17">
        <f t="shared" si="18"/>
        <v>0.18308383233532935</v>
      </c>
    </row>
    <row r="456" spans="1:7" ht="36" x14ac:dyDescent="0.25">
      <c r="A456" s="10" t="s">
        <v>192</v>
      </c>
      <c r="B456" s="11">
        <v>9177651</v>
      </c>
      <c r="C456" s="11">
        <f>C457</f>
        <v>4083637</v>
      </c>
      <c r="D456" s="11">
        <v>3713052.88</v>
      </c>
      <c r="E456" s="11">
        <v>3713052.88</v>
      </c>
      <c r="F456" s="12">
        <f t="shared" si="19"/>
        <v>0.9092514540347244</v>
      </c>
      <c r="G456" s="12">
        <f t="shared" ref="G456:G519" si="21">D456/B456</f>
        <v>0.40457551502012878</v>
      </c>
    </row>
    <row r="457" spans="1:7" ht="24" x14ac:dyDescent="0.25">
      <c r="A457" s="13" t="s">
        <v>193</v>
      </c>
      <c r="B457" s="14">
        <v>9177651</v>
      </c>
      <c r="C457" s="11">
        <v>4083637</v>
      </c>
      <c r="D457" s="14">
        <v>3713052.88</v>
      </c>
      <c r="E457" s="14">
        <v>3713052.88</v>
      </c>
      <c r="F457" s="34">
        <f t="shared" si="19"/>
        <v>0.9092514540347244</v>
      </c>
      <c r="G457" s="34">
        <f t="shared" si="21"/>
        <v>0.40457551502012878</v>
      </c>
    </row>
    <row r="458" spans="1:7" x14ac:dyDescent="0.25">
      <c r="A458" s="15" t="s">
        <v>14</v>
      </c>
      <c r="B458" s="16">
        <v>6331968</v>
      </c>
      <c r="C458" s="16">
        <v>2670966</v>
      </c>
      <c r="D458" s="16">
        <v>2670803.35</v>
      </c>
      <c r="E458" s="16">
        <v>2670803.35</v>
      </c>
      <c r="F458" s="17">
        <f t="shared" ref="F458:F521" si="22">D458/C458</f>
        <v>0.99993910442888456</v>
      </c>
      <c r="G458" s="17">
        <f t="shared" si="21"/>
        <v>0.42179672259872447</v>
      </c>
    </row>
    <row r="459" spans="1:7" x14ac:dyDescent="0.25">
      <c r="A459" s="15" t="s">
        <v>15</v>
      </c>
      <c r="B459" s="16">
        <v>1393033</v>
      </c>
      <c r="C459" s="16">
        <v>660270</v>
      </c>
      <c r="D459" s="16">
        <v>548367.25</v>
      </c>
      <c r="E459" s="16">
        <v>548367.25</v>
      </c>
      <c r="F459" s="17">
        <f t="shared" si="22"/>
        <v>0.83051971163311977</v>
      </c>
      <c r="G459" s="17">
        <f t="shared" si="21"/>
        <v>0.39364986328392793</v>
      </c>
    </row>
    <row r="460" spans="1:7" x14ac:dyDescent="0.25">
      <c r="A460" s="15" t="s">
        <v>16</v>
      </c>
      <c r="B460" s="16">
        <v>100006</v>
      </c>
      <c r="C460" s="16">
        <v>58000</v>
      </c>
      <c r="D460" s="16">
        <v>27200</v>
      </c>
      <c r="E460" s="16">
        <v>27200</v>
      </c>
      <c r="F460" s="17">
        <f t="shared" si="22"/>
        <v>0.4689655172413793</v>
      </c>
      <c r="G460" s="17">
        <f t="shared" si="21"/>
        <v>0.27198368097914127</v>
      </c>
    </row>
    <row r="461" spans="1:7" x14ac:dyDescent="0.25">
      <c r="A461" s="15" t="s">
        <v>17</v>
      </c>
      <c r="B461" s="16">
        <v>900000</v>
      </c>
      <c r="C461" s="16">
        <v>450000</v>
      </c>
      <c r="D461" s="16">
        <v>356941.56</v>
      </c>
      <c r="E461" s="16">
        <v>356941.56</v>
      </c>
      <c r="F461" s="17">
        <f t="shared" si="22"/>
        <v>0.79320346666666663</v>
      </c>
      <c r="G461" s="17">
        <f t="shared" si="21"/>
        <v>0.39660173333333332</v>
      </c>
    </row>
    <row r="462" spans="1:7" x14ac:dyDescent="0.25">
      <c r="A462" s="15" t="s">
        <v>18</v>
      </c>
      <c r="B462" s="16">
        <v>201208</v>
      </c>
      <c r="C462" s="16">
        <v>118683</v>
      </c>
      <c r="D462" s="16">
        <v>63951.14</v>
      </c>
      <c r="E462" s="16">
        <v>63951.14</v>
      </c>
      <c r="F462" s="17">
        <f t="shared" si="22"/>
        <v>0.53883993495277338</v>
      </c>
      <c r="G462" s="17">
        <f t="shared" si="21"/>
        <v>0.31783597073675002</v>
      </c>
    </row>
    <row r="463" spans="1:7" x14ac:dyDescent="0.25">
      <c r="A463" s="15" t="s">
        <v>19</v>
      </c>
      <c r="B463" s="16">
        <v>23436</v>
      </c>
      <c r="C463" s="16">
        <v>11718</v>
      </c>
      <c r="D463" s="16">
        <v>7406.17</v>
      </c>
      <c r="E463" s="16">
        <v>7406.17</v>
      </c>
      <c r="F463" s="17">
        <f t="shared" si="22"/>
        <v>0.6320336234852364</v>
      </c>
      <c r="G463" s="17">
        <f t="shared" si="21"/>
        <v>0.3160168117426182</v>
      </c>
    </row>
    <row r="464" spans="1:7" x14ac:dyDescent="0.25">
      <c r="A464" s="15" t="s">
        <v>20</v>
      </c>
      <c r="B464" s="16">
        <v>228000</v>
      </c>
      <c r="C464" s="16">
        <v>114000</v>
      </c>
      <c r="D464" s="16">
        <v>38383.410000000003</v>
      </c>
      <c r="E464" s="16">
        <v>38383.410000000003</v>
      </c>
      <c r="F464" s="17">
        <f t="shared" si="22"/>
        <v>0.33669657894736843</v>
      </c>
      <c r="G464" s="17">
        <f t="shared" si="21"/>
        <v>0.16834828947368422</v>
      </c>
    </row>
    <row r="465" spans="1:7" ht="24" x14ac:dyDescent="0.25">
      <c r="A465" s="10" t="s">
        <v>194</v>
      </c>
      <c r="B465" s="11">
        <v>91000</v>
      </c>
      <c r="C465" s="11">
        <v>52000</v>
      </c>
      <c r="D465" s="11">
        <v>39000</v>
      </c>
      <c r="E465" s="11">
        <v>39000</v>
      </c>
      <c r="F465" s="12">
        <f t="shared" si="22"/>
        <v>0.75</v>
      </c>
      <c r="G465" s="12">
        <f t="shared" si="21"/>
        <v>0.42857142857142855</v>
      </c>
    </row>
    <row r="466" spans="1:7" ht="24" x14ac:dyDescent="0.25">
      <c r="A466" s="13" t="s">
        <v>143</v>
      </c>
      <c r="B466" s="14">
        <v>91000</v>
      </c>
      <c r="C466" s="14">
        <v>52000</v>
      </c>
      <c r="D466" s="14">
        <v>39000</v>
      </c>
      <c r="E466" s="14">
        <v>39000</v>
      </c>
      <c r="F466" s="34">
        <f t="shared" si="22"/>
        <v>0.75</v>
      </c>
      <c r="G466" s="34">
        <f t="shared" si="21"/>
        <v>0.42857142857142855</v>
      </c>
    </row>
    <row r="467" spans="1:7" x14ac:dyDescent="0.25">
      <c r="A467" s="15" t="s">
        <v>16</v>
      </c>
      <c r="B467" s="16">
        <v>91000</v>
      </c>
      <c r="C467" s="16">
        <v>52000</v>
      </c>
      <c r="D467" s="16">
        <v>39000</v>
      </c>
      <c r="E467" s="16">
        <v>39000</v>
      </c>
      <c r="F467" s="12">
        <f t="shared" si="22"/>
        <v>0.75</v>
      </c>
      <c r="G467" s="17">
        <f t="shared" si="21"/>
        <v>0.42857142857142855</v>
      </c>
    </row>
    <row r="468" spans="1:7" x14ac:dyDescent="0.25">
      <c r="A468" s="35" t="s">
        <v>86</v>
      </c>
      <c r="B468" s="36">
        <f>B469+B479+B489+B499</f>
        <v>53380350</v>
      </c>
      <c r="C468" s="36">
        <f t="shared" ref="C468:E468" si="23">C469+C479+C489+C499</f>
        <v>28081300</v>
      </c>
      <c r="D468" s="36">
        <f t="shared" si="23"/>
        <v>25070189.919999998</v>
      </c>
      <c r="E468" s="36">
        <f t="shared" si="23"/>
        <v>25070189.919999998</v>
      </c>
      <c r="F468" s="9">
        <f t="shared" si="22"/>
        <v>0.89277169931591482</v>
      </c>
      <c r="G468" s="9">
        <f t="shared" si="21"/>
        <v>0.46965203337932399</v>
      </c>
    </row>
    <row r="469" spans="1:7" x14ac:dyDescent="0.25">
      <c r="A469" s="10" t="s">
        <v>195</v>
      </c>
      <c r="B469" s="11">
        <v>38568232</v>
      </c>
      <c r="C469" s="11">
        <f>C470</f>
        <v>19596026</v>
      </c>
      <c r="D469" s="11">
        <v>18293826.219999999</v>
      </c>
      <c r="E469" s="11">
        <v>18293826.219999999</v>
      </c>
      <c r="F469" s="12">
        <f t="shared" si="22"/>
        <v>0.93354776218402646</v>
      </c>
      <c r="G469" s="12">
        <f t="shared" si="21"/>
        <v>0.47432369261831858</v>
      </c>
    </row>
    <row r="470" spans="1:7" ht="24" x14ac:dyDescent="0.25">
      <c r="A470" s="13" t="s">
        <v>139</v>
      </c>
      <c r="B470" s="14">
        <v>38568232</v>
      </c>
      <c r="C470" s="11">
        <v>19596026</v>
      </c>
      <c r="D470" s="14">
        <v>18293826.219999999</v>
      </c>
      <c r="E470" s="14">
        <v>18293826.219999999</v>
      </c>
      <c r="F470" s="34">
        <f t="shared" si="22"/>
        <v>0.93354776218402646</v>
      </c>
      <c r="G470" s="34">
        <f t="shared" si="21"/>
        <v>0.47432369261831858</v>
      </c>
    </row>
    <row r="471" spans="1:7" x14ac:dyDescent="0.25">
      <c r="A471" s="15" t="s">
        <v>14</v>
      </c>
      <c r="B471" s="16">
        <v>27682579</v>
      </c>
      <c r="C471" s="16">
        <v>13880079</v>
      </c>
      <c r="D471" s="16">
        <v>13870691.130000001</v>
      </c>
      <c r="E471" s="16">
        <v>13870691.130000001</v>
      </c>
      <c r="F471" s="17">
        <f t="shared" si="22"/>
        <v>0.99932364433948828</v>
      </c>
      <c r="G471" s="17">
        <f t="shared" si="21"/>
        <v>0.50106209865778761</v>
      </c>
    </row>
    <row r="472" spans="1:7" x14ac:dyDescent="0.25">
      <c r="A472" s="15" t="s">
        <v>15</v>
      </c>
      <c r="B472" s="16">
        <v>6090168</v>
      </c>
      <c r="C472" s="16">
        <v>3005368</v>
      </c>
      <c r="D472" s="16">
        <v>2950656.64</v>
      </c>
      <c r="E472" s="16">
        <v>2950656.64</v>
      </c>
      <c r="F472" s="17">
        <f t="shared" si="22"/>
        <v>0.98179545400097434</v>
      </c>
      <c r="G472" s="17">
        <f t="shared" si="21"/>
        <v>0.48449511409209073</v>
      </c>
    </row>
    <row r="473" spans="1:7" x14ac:dyDescent="0.25">
      <c r="A473" s="15" t="s">
        <v>16</v>
      </c>
      <c r="B473" s="16">
        <v>200000</v>
      </c>
      <c r="C473" s="16">
        <v>200000</v>
      </c>
      <c r="D473" s="16">
        <v>169139.82</v>
      </c>
      <c r="E473" s="16">
        <v>169139.82</v>
      </c>
      <c r="F473" s="17">
        <f t="shared" si="22"/>
        <v>0.84569910000000004</v>
      </c>
      <c r="G473" s="17">
        <f t="shared" si="21"/>
        <v>0.84569910000000004</v>
      </c>
    </row>
    <row r="474" spans="1:7" x14ac:dyDescent="0.25">
      <c r="A474" s="15" t="s">
        <v>17</v>
      </c>
      <c r="B474" s="16">
        <v>1200000</v>
      </c>
      <c r="C474" s="16">
        <v>700000</v>
      </c>
      <c r="D474" s="16">
        <v>355661.94</v>
      </c>
      <c r="E474" s="16">
        <v>355661.94</v>
      </c>
      <c r="F474" s="17">
        <f t="shared" si="22"/>
        <v>0.50808848571428566</v>
      </c>
      <c r="G474" s="17">
        <f t="shared" si="21"/>
        <v>0.29638494999999998</v>
      </c>
    </row>
    <row r="475" spans="1:7" x14ac:dyDescent="0.25">
      <c r="A475" s="15" t="s">
        <v>18</v>
      </c>
      <c r="B475" s="16">
        <v>2509252</v>
      </c>
      <c r="C475" s="16">
        <v>1393884</v>
      </c>
      <c r="D475" s="16">
        <v>748051.06</v>
      </c>
      <c r="E475" s="16">
        <v>748051.06</v>
      </c>
      <c r="F475" s="17">
        <f t="shared" si="22"/>
        <v>0.53666665231827038</v>
      </c>
      <c r="G475" s="17">
        <f t="shared" si="21"/>
        <v>0.29811715204371664</v>
      </c>
    </row>
    <row r="476" spans="1:7" x14ac:dyDescent="0.25">
      <c r="A476" s="15" t="s">
        <v>19</v>
      </c>
      <c r="B476" s="16">
        <v>71072</v>
      </c>
      <c r="C476" s="16">
        <v>35244</v>
      </c>
      <c r="D476" s="16">
        <v>15320.89</v>
      </c>
      <c r="E476" s="16">
        <v>15320.89</v>
      </c>
      <c r="F476" s="17">
        <f t="shared" si="22"/>
        <v>0.43470917035523776</v>
      </c>
      <c r="G476" s="17">
        <f t="shared" si="21"/>
        <v>0.21556857834308868</v>
      </c>
    </row>
    <row r="477" spans="1:7" x14ac:dyDescent="0.25">
      <c r="A477" s="15" t="s">
        <v>20</v>
      </c>
      <c r="B477" s="16">
        <v>770161</v>
      </c>
      <c r="C477" s="16">
        <v>358963</v>
      </c>
      <c r="D477" s="16">
        <v>166223.38</v>
      </c>
      <c r="E477" s="16">
        <v>166223.38</v>
      </c>
      <c r="F477" s="17">
        <f t="shared" si="22"/>
        <v>0.46306549700108368</v>
      </c>
      <c r="G477" s="17">
        <f t="shared" si="21"/>
        <v>0.21582939151683869</v>
      </c>
    </row>
    <row r="478" spans="1:7" x14ac:dyDescent="0.25">
      <c r="A478" s="15" t="s">
        <v>32</v>
      </c>
      <c r="B478" s="16">
        <v>45000</v>
      </c>
      <c r="C478" s="16">
        <v>22488</v>
      </c>
      <c r="D478" s="16">
        <v>18081.36</v>
      </c>
      <c r="E478" s="16">
        <v>18081.36</v>
      </c>
      <c r="F478" s="17">
        <f t="shared" si="22"/>
        <v>0.80404482390608323</v>
      </c>
      <c r="G478" s="17">
        <f t="shared" si="21"/>
        <v>0.401808</v>
      </c>
    </row>
    <row r="479" spans="1:7" ht="24" x14ac:dyDescent="0.25">
      <c r="A479" s="10" t="s">
        <v>196</v>
      </c>
      <c r="B479" s="11">
        <v>10624456</v>
      </c>
      <c r="C479" s="11">
        <f>C480</f>
        <v>6413204</v>
      </c>
      <c r="D479" s="11">
        <v>4786729.97</v>
      </c>
      <c r="E479" s="11">
        <v>4786729.97</v>
      </c>
      <c r="F479" s="12">
        <f t="shared" si="22"/>
        <v>0.74638666881639815</v>
      </c>
      <c r="G479" s="12">
        <f t="shared" si="21"/>
        <v>0.45053882947042179</v>
      </c>
    </row>
    <row r="480" spans="1:7" ht="24" x14ac:dyDescent="0.25">
      <c r="A480" s="13" t="s">
        <v>139</v>
      </c>
      <c r="B480" s="14">
        <v>10624456</v>
      </c>
      <c r="C480" s="11">
        <v>6413204</v>
      </c>
      <c r="D480" s="14">
        <v>4786729.97</v>
      </c>
      <c r="E480" s="14">
        <v>4786729.97</v>
      </c>
      <c r="F480" s="34">
        <f t="shared" si="22"/>
        <v>0.74638666881639815</v>
      </c>
      <c r="G480" s="34">
        <f t="shared" si="21"/>
        <v>0.45053882947042179</v>
      </c>
    </row>
    <row r="481" spans="1:7" x14ac:dyDescent="0.25">
      <c r="A481" s="15" t="s">
        <v>14</v>
      </c>
      <c r="B481" s="16">
        <v>5904712</v>
      </c>
      <c r="C481" s="16">
        <v>3220000</v>
      </c>
      <c r="D481" s="16">
        <v>3218441.45</v>
      </c>
      <c r="E481" s="16">
        <v>3218441.45</v>
      </c>
      <c r="F481" s="17">
        <f t="shared" si="22"/>
        <v>0.99951597826086958</v>
      </c>
      <c r="G481" s="17">
        <f t="shared" si="21"/>
        <v>0.54506323932479694</v>
      </c>
    </row>
    <row r="482" spans="1:7" x14ac:dyDescent="0.25">
      <c r="A482" s="15" t="s">
        <v>15</v>
      </c>
      <c r="B482" s="16">
        <v>1299037</v>
      </c>
      <c r="C482" s="16">
        <v>708400</v>
      </c>
      <c r="D482" s="16">
        <v>651478.81000000006</v>
      </c>
      <c r="E482" s="16">
        <v>651478.81000000006</v>
      </c>
      <c r="F482" s="17">
        <f t="shared" si="22"/>
        <v>0.91964823546019203</v>
      </c>
      <c r="G482" s="17">
        <f t="shared" si="21"/>
        <v>0.50150904862602075</v>
      </c>
    </row>
    <row r="483" spans="1:7" x14ac:dyDescent="0.25">
      <c r="A483" s="15" t="s">
        <v>16</v>
      </c>
      <c r="B483" s="16">
        <v>400000</v>
      </c>
      <c r="C483" s="16">
        <v>400000</v>
      </c>
      <c r="D483" s="16">
        <v>292728.2</v>
      </c>
      <c r="E483" s="16">
        <v>292728.2</v>
      </c>
      <c r="F483" s="17">
        <f t="shared" si="22"/>
        <v>0.73182049999999998</v>
      </c>
      <c r="G483" s="17">
        <f t="shared" si="21"/>
        <v>0.73182049999999998</v>
      </c>
    </row>
    <row r="484" spans="1:7" x14ac:dyDescent="0.25">
      <c r="A484" s="15" t="s">
        <v>17</v>
      </c>
      <c r="B484" s="16">
        <v>1224664</v>
      </c>
      <c r="C484" s="16">
        <v>1120000</v>
      </c>
      <c r="D484" s="16">
        <v>72480.62</v>
      </c>
      <c r="E484" s="16">
        <v>72480.62</v>
      </c>
      <c r="F484" s="17">
        <f t="shared" si="22"/>
        <v>6.4714839285714282E-2</v>
      </c>
      <c r="G484" s="17">
        <f t="shared" si="21"/>
        <v>5.9184086410639977E-2</v>
      </c>
    </row>
    <row r="485" spans="1:7" x14ac:dyDescent="0.25">
      <c r="A485" s="15" t="s">
        <v>18</v>
      </c>
      <c r="B485" s="16">
        <v>1236932</v>
      </c>
      <c r="C485" s="16">
        <v>669938</v>
      </c>
      <c r="D485" s="16">
        <v>364250.58</v>
      </c>
      <c r="E485" s="16">
        <v>364250.58</v>
      </c>
      <c r="F485" s="17">
        <f t="shared" si="22"/>
        <v>0.54370789535748087</v>
      </c>
      <c r="G485" s="17">
        <f t="shared" si="21"/>
        <v>0.29447906594703671</v>
      </c>
    </row>
    <row r="486" spans="1:7" x14ac:dyDescent="0.25">
      <c r="A486" s="15" t="s">
        <v>19</v>
      </c>
      <c r="B486" s="16">
        <v>68121</v>
      </c>
      <c r="C486" s="16">
        <v>34574</v>
      </c>
      <c r="D486" s="16">
        <v>17108.16</v>
      </c>
      <c r="E486" s="16">
        <v>17108.16</v>
      </c>
      <c r="F486" s="17">
        <f t="shared" si="22"/>
        <v>0.49482732689304099</v>
      </c>
      <c r="G486" s="17">
        <f t="shared" si="21"/>
        <v>0.25114370018056104</v>
      </c>
    </row>
    <row r="487" spans="1:7" x14ac:dyDescent="0.25">
      <c r="A487" s="15" t="s">
        <v>20</v>
      </c>
      <c r="B487" s="16">
        <v>471490</v>
      </c>
      <c r="C487" s="16">
        <v>250542</v>
      </c>
      <c r="D487" s="16">
        <v>165437.53</v>
      </c>
      <c r="E487" s="16">
        <v>165437.53</v>
      </c>
      <c r="F487" s="17">
        <f t="shared" si="22"/>
        <v>0.66031854938493351</v>
      </c>
      <c r="G487" s="17">
        <f t="shared" si="21"/>
        <v>0.35088237290292479</v>
      </c>
    </row>
    <row r="488" spans="1:7" x14ac:dyDescent="0.25">
      <c r="A488" s="15" t="s">
        <v>32</v>
      </c>
      <c r="B488" s="16">
        <v>19500</v>
      </c>
      <c r="C488" s="16">
        <v>9750</v>
      </c>
      <c r="D488" s="16">
        <v>4804.62</v>
      </c>
      <c r="E488" s="16">
        <v>4804.62</v>
      </c>
      <c r="F488" s="17">
        <f t="shared" si="22"/>
        <v>0.49278153846153844</v>
      </c>
      <c r="G488" s="17">
        <f t="shared" si="21"/>
        <v>0.24639076923076922</v>
      </c>
    </row>
    <row r="489" spans="1:7" ht="24" x14ac:dyDescent="0.25">
      <c r="A489" s="10" t="s">
        <v>197</v>
      </c>
      <c r="B489" s="11">
        <v>4117662</v>
      </c>
      <c r="C489" s="11">
        <f>C490</f>
        <v>2072070</v>
      </c>
      <c r="D489" s="11">
        <v>1989633.73</v>
      </c>
      <c r="E489" s="11">
        <v>1989633.73</v>
      </c>
      <c r="F489" s="12">
        <f t="shared" si="22"/>
        <v>0.96021549947636908</v>
      </c>
      <c r="G489" s="12">
        <f t="shared" si="21"/>
        <v>0.48319500969239337</v>
      </c>
    </row>
    <row r="490" spans="1:7" ht="24" x14ac:dyDescent="0.25">
      <c r="A490" s="13" t="s">
        <v>139</v>
      </c>
      <c r="B490" s="14">
        <v>4117662</v>
      </c>
      <c r="C490" s="11">
        <v>2072070</v>
      </c>
      <c r="D490" s="14">
        <v>1989633.73</v>
      </c>
      <c r="E490" s="14">
        <v>1989633.73</v>
      </c>
      <c r="F490" s="34">
        <f t="shared" si="22"/>
        <v>0.96021549947636908</v>
      </c>
      <c r="G490" s="34">
        <f t="shared" si="21"/>
        <v>0.48319500969239337</v>
      </c>
    </row>
    <row r="491" spans="1:7" x14ac:dyDescent="0.25">
      <c r="A491" s="15" t="s">
        <v>14</v>
      </c>
      <c r="B491" s="16">
        <v>3086755</v>
      </c>
      <c r="C491" s="16">
        <v>1510000</v>
      </c>
      <c r="D491" s="16">
        <v>1508718.83</v>
      </c>
      <c r="E491" s="16">
        <v>1508718.83</v>
      </c>
      <c r="F491" s="17">
        <f t="shared" si="22"/>
        <v>0.99915154304635767</v>
      </c>
      <c r="G491" s="17">
        <f t="shared" si="21"/>
        <v>0.48877181052594071</v>
      </c>
    </row>
    <row r="492" spans="1:7" x14ac:dyDescent="0.25">
      <c r="A492" s="15" t="s">
        <v>15</v>
      </c>
      <c r="B492" s="16">
        <v>679086</v>
      </c>
      <c r="C492" s="16">
        <v>332200</v>
      </c>
      <c r="D492" s="16">
        <v>324628.58</v>
      </c>
      <c r="E492" s="16">
        <v>324628.58</v>
      </c>
      <c r="F492" s="17">
        <f t="shared" si="22"/>
        <v>0.97720824804334738</v>
      </c>
      <c r="G492" s="17">
        <f t="shared" si="21"/>
        <v>0.47803750924036131</v>
      </c>
    </row>
    <row r="493" spans="1:7" x14ac:dyDescent="0.25">
      <c r="A493" s="15" t="s">
        <v>16</v>
      </c>
      <c r="B493" s="16">
        <v>50000</v>
      </c>
      <c r="C493" s="16">
        <v>50000</v>
      </c>
      <c r="D493" s="16">
        <v>37988.949999999997</v>
      </c>
      <c r="E493" s="16">
        <v>37988.949999999997</v>
      </c>
      <c r="F493" s="17">
        <f t="shared" si="22"/>
        <v>0.75977899999999998</v>
      </c>
      <c r="G493" s="17">
        <f t="shared" si="21"/>
        <v>0.75977899999999998</v>
      </c>
    </row>
    <row r="494" spans="1:7" x14ac:dyDescent="0.25">
      <c r="A494" s="15" t="s">
        <v>17</v>
      </c>
      <c r="B494" s="16">
        <v>230000</v>
      </c>
      <c r="C494" s="16">
        <v>140000</v>
      </c>
      <c r="D494" s="16">
        <v>99236.08</v>
      </c>
      <c r="E494" s="16">
        <v>99236.08</v>
      </c>
      <c r="F494" s="17">
        <f t="shared" si="22"/>
        <v>0.70882914285714282</v>
      </c>
      <c r="G494" s="17">
        <f t="shared" si="21"/>
        <v>0.43146121739130433</v>
      </c>
    </row>
    <row r="495" spans="1:7" x14ac:dyDescent="0.25">
      <c r="A495" s="15" t="s">
        <v>18</v>
      </c>
      <c r="B495" s="16">
        <v>31207</v>
      </c>
      <c r="C495" s="16">
        <v>19184</v>
      </c>
      <c r="D495" s="16">
        <v>9754.4699999999993</v>
      </c>
      <c r="E495" s="16">
        <v>9754.4699999999993</v>
      </c>
      <c r="F495" s="17">
        <f t="shared" si="22"/>
        <v>0.50846903669724763</v>
      </c>
      <c r="G495" s="17">
        <f t="shared" si="21"/>
        <v>0.3125731406415227</v>
      </c>
    </row>
    <row r="496" spans="1:7" x14ac:dyDescent="0.25">
      <c r="A496" s="15" t="s">
        <v>19</v>
      </c>
      <c r="B496" s="16">
        <v>3664</v>
      </c>
      <c r="C496" s="16">
        <v>1832</v>
      </c>
      <c r="D496" s="16">
        <v>1261.33</v>
      </c>
      <c r="E496" s="16">
        <v>1261.33</v>
      </c>
      <c r="F496" s="17">
        <f t="shared" si="22"/>
        <v>0.68849890829694316</v>
      </c>
      <c r="G496" s="17">
        <f t="shared" si="21"/>
        <v>0.34424945414847158</v>
      </c>
    </row>
    <row r="497" spans="1:7" x14ac:dyDescent="0.25">
      <c r="A497" s="15" t="s">
        <v>20</v>
      </c>
      <c r="B497" s="16">
        <v>33750</v>
      </c>
      <c r="C497" s="16">
        <v>17250</v>
      </c>
      <c r="D497" s="16">
        <v>7121.52</v>
      </c>
      <c r="E497" s="16">
        <v>7121.52</v>
      </c>
      <c r="F497" s="17">
        <f t="shared" si="22"/>
        <v>0.41284173913043481</v>
      </c>
      <c r="G497" s="17">
        <f t="shared" si="21"/>
        <v>0.211008</v>
      </c>
    </row>
    <row r="498" spans="1:7" x14ac:dyDescent="0.25">
      <c r="A498" s="15" t="s">
        <v>32</v>
      </c>
      <c r="B498" s="16">
        <v>3200</v>
      </c>
      <c r="C498" s="16">
        <v>1604</v>
      </c>
      <c r="D498" s="19">
        <v>923.97</v>
      </c>
      <c r="E498" s="19">
        <v>923.97</v>
      </c>
      <c r="F498" s="17">
        <f t="shared" si="22"/>
        <v>0.57604114713216958</v>
      </c>
      <c r="G498" s="17">
        <f t="shared" si="21"/>
        <v>0.28874062500000003</v>
      </c>
    </row>
    <row r="499" spans="1:7" x14ac:dyDescent="0.25">
      <c r="A499" s="10" t="s">
        <v>198</v>
      </c>
      <c r="B499" s="11">
        <v>70000</v>
      </c>
      <c r="C499" s="11">
        <f>C500</f>
        <v>0</v>
      </c>
      <c r="D499" s="11">
        <f t="shared" ref="D499:E499" si="24">D500</f>
        <v>0</v>
      </c>
      <c r="E499" s="11">
        <f t="shared" si="24"/>
        <v>0</v>
      </c>
      <c r="F499" s="12">
        <v>0</v>
      </c>
      <c r="G499" s="12">
        <f t="shared" si="21"/>
        <v>0</v>
      </c>
    </row>
    <row r="500" spans="1:7" ht="24" x14ac:dyDescent="0.25">
      <c r="A500" s="13" t="s">
        <v>139</v>
      </c>
      <c r="B500" s="14">
        <v>70000</v>
      </c>
      <c r="C500" s="37"/>
      <c r="D500" s="37"/>
      <c r="E500" s="37"/>
      <c r="F500" s="34">
        <v>0</v>
      </c>
      <c r="G500" s="34">
        <f t="shared" si="21"/>
        <v>0</v>
      </c>
    </row>
    <row r="501" spans="1:7" x14ac:dyDescent="0.25">
      <c r="A501" s="15" t="s">
        <v>17</v>
      </c>
      <c r="B501" s="16">
        <v>70000</v>
      </c>
      <c r="C501" s="18"/>
      <c r="D501" s="18"/>
      <c r="E501" s="18"/>
      <c r="F501" s="12">
        <v>0</v>
      </c>
      <c r="G501" s="12">
        <f t="shared" si="21"/>
        <v>0</v>
      </c>
    </row>
    <row r="502" spans="1:7" x14ac:dyDescent="0.25">
      <c r="A502" s="35" t="s">
        <v>91</v>
      </c>
      <c r="B502" s="36">
        <f>B503+B545</f>
        <v>55691960</v>
      </c>
      <c r="C502" s="36">
        <f t="shared" ref="C502:E502" si="25">C503+C545</f>
        <v>27653554</v>
      </c>
      <c r="D502" s="36">
        <f t="shared" si="25"/>
        <v>26566981.289999999</v>
      </c>
      <c r="E502" s="36">
        <f t="shared" si="25"/>
        <v>26558565.449999999</v>
      </c>
      <c r="F502" s="9">
        <f t="shared" ref="F502" si="26">D502/C502</f>
        <v>0.96070766491713866</v>
      </c>
      <c r="G502" s="9">
        <f t="shared" si="21"/>
        <v>0.47703441017338949</v>
      </c>
    </row>
    <row r="503" spans="1:7" ht="36" x14ac:dyDescent="0.25">
      <c r="A503" s="10" t="s">
        <v>199</v>
      </c>
      <c r="B503" s="11">
        <v>55571960</v>
      </c>
      <c r="C503" s="11">
        <v>27583554</v>
      </c>
      <c r="D503" s="11">
        <v>26498021.23</v>
      </c>
      <c r="E503" s="11">
        <v>26489605.390000001</v>
      </c>
      <c r="F503" s="12">
        <f t="shared" si="22"/>
        <v>0.96064565247828471</v>
      </c>
      <c r="G503" s="12">
        <f t="shared" si="21"/>
        <v>0.47682358567162292</v>
      </c>
    </row>
    <row r="504" spans="1:7" x14ac:dyDescent="0.25">
      <c r="A504" s="13" t="s">
        <v>200</v>
      </c>
      <c r="B504" s="14">
        <v>17990461</v>
      </c>
      <c r="C504" s="14">
        <v>8886620</v>
      </c>
      <c r="D504" s="14">
        <v>8570812.9100000001</v>
      </c>
      <c r="E504" s="14">
        <v>8570812.9100000001</v>
      </c>
      <c r="F504" s="34">
        <f t="shared" si="22"/>
        <v>0.96446263146168065</v>
      </c>
      <c r="G504" s="34">
        <f t="shared" si="21"/>
        <v>0.4764087429443859</v>
      </c>
    </row>
    <row r="505" spans="1:7" x14ac:dyDescent="0.25">
      <c r="A505" s="15" t="s">
        <v>14</v>
      </c>
      <c r="B505" s="16">
        <v>13230943</v>
      </c>
      <c r="C505" s="16">
        <v>6506196</v>
      </c>
      <c r="D505" s="16">
        <v>6505854.4199999999</v>
      </c>
      <c r="E505" s="16">
        <v>6505854.4199999999</v>
      </c>
      <c r="F505" s="17">
        <f t="shared" si="22"/>
        <v>0.99994749927607463</v>
      </c>
      <c r="G505" s="17">
        <f t="shared" si="21"/>
        <v>0.49171509695113946</v>
      </c>
    </row>
    <row r="506" spans="1:7" x14ac:dyDescent="0.25">
      <c r="A506" s="15" t="s">
        <v>15</v>
      </c>
      <c r="B506" s="16">
        <v>2910808</v>
      </c>
      <c r="C506" s="16">
        <v>1425540</v>
      </c>
      <c r="D506" s="16">
        <v>1423111.87</v>
      </c>
      <c r="E506" s="16">
        <v>1423111.87</v>
      </c>
      <c r="F506" s="17">
        <f t="shared" si="22"/>
        <v>0.99829669458591141</v>
      </c>
      <c r="G506" s="17">
        <f t="shared" si="21"/>
        <v>0.48890612847017051</v>
      </c>
    </row>
    <row r="507" spans="1:7" x14ac:dyDescent="0.25">
      <c r="A507" s="15" t="s">
        <v>16</v>
      </c>
      <c r="B507" s="16">
        <v>186200</v>
      </c>
      <c r="C507" s="16">
        <v>93104</v>
      </c>
      <c r="D507" s="16">
        <v>82132</v>
      </c>
      <c r="E507" s="16">
        <v>82132</v>
      </c>
      <c r="F507" s="17">
        <f t="shared" si="22"/>
        <v>0.88215329094346107</v>
      </c>
      <c r="G507" s="17">
        <f t="shared" si="21"/>
        <v>0.4410955961331901</v>
      </c>
    </row>
    <row r="508" spans="1:7" x14ac:dyDescent="0.25">
      <c r="A508" s="15" t="s">
        <v>17</v>
      </c>
      <c r="B508" s="16">
        <v>413800</v>
      </c>
      <c r="C508" s="16">
        <v>206902</v>
      </c>
      <c r="D508" s="16">
        <v>94450.82</v>
      </c>
      <c r="E508" s="16">
        <v>94450.82</v>
      </c>
      <c r="F508" s="17">
        <f t="shared" si="22"/>
        <v>0.45650027549274541</v>
      </c>
      <c r="G508" s="17">
        <f t="shared" si="21"/>
        <v>0.2282523441275979</v>
      </c>
    </row>
    <row r="509" spans="1:7" x14ac:dyDescent="0.25">
      <c r="A509" s="15" t="s">
        <v>26</v>
      </c>
      <c r="B509" s="16">
        <v>490000</v>
      </c>
      <c r="C509" s="16">
        <v>245002</v>
      </c>
      <c r="D509" s="16">
        <v>176866.92</v>
      </c>
      <c r="E509" s="16">
        <v>176866.92</v>
      </c>
      <c r="F509" s="17">
        <f t="shared" si="22"/>
        <v>0.72189990285793593</v>
      </c>
      <c r="G509" s="17">
        <f t="shared" si="21"/>
        <v>0.36095289795918373</v>
      </c>
    </row>
    <row r="510" spans="1:7" x14ac:dyDescent="0.25">
      <c r="A510" s="15" t="s">
        <v>18</v>
      </c>
      <c r="B510" s="16">
        <v>397991</v>
      </c>
      <c r="C510" s="16">
        <v>236502</v>
      </c>
      <c r="D510" s="16">
        <v>227768.71</v>
      </c>
      <c r="E510" s="16">
        <v>227768.71</v>
      </c>
      <c r="F510" s="17">
        <f t="shared" si="22"/>
        <v>0.9630730818344031</v>
      </c>
      <c r="G510" s="17">
        <f t="shared" si="21"/>
        <v>0.5722961323246003</v>
      </c>
    </row>
    <row r="511" spans="1:7" x14ac:dyDescent="0.25">
      <c r="A511" s="15" t="s">
        <v>19</v>
      </c>
      <c r="B511" s="16">
        <v>43350</v>
      </c>
      <c r="C511" s="16">
        <v>21056</v>
      </c>
      <c r="D511" s="16">
        <v>9410.0300000000007</v>
      </c>
      <c r="E511" s="16">
        <v>9410.0300000000007</v>
      </c>
      <c r="F511" s="17">
        <f t="shared" si="22"/>
        <v>0.44690492021276601</v>
      </c>
      <c r="G511" s="17">
        <f t="shared" si="21"/>
        <v>0.21707104959630913</v>
      </c>
    </row>
    <row r="512" spans="1:7" x14ac:dyDescent="0.25">
      <c r="A512" s="15" t="s">
        <v>20</v>
      </c>
      <c r="B512" s="16">
        <v>296019</v>
      </c>
      <c r="C512" s="16">
        <v>141680</v>
      </c>
      <c r="D512" s="16">
        <v>42964.33</v>
      </c>
      <c r="E512" s="16">
        <v>42964.33</v>
      </c>
      <c r="F512" s="17">
        <f t="shared" si="22"/>
        <v>0.30324908243929982</v>
      </c>
      <c r="G512" s="17">
        <f t="shared" si="21"/>
        <v>0.14514044706589779</v>
      </c>
    </row>
    <row r="513" spans="1:7" x14ac:dyDescent="0.25">
      <c r="A513" s="15" t="s">
        <v>32</v>
      </c>
      <c r="B513" s="16">
        <v>21350</v>
      </c>
      <c r="C513" s="16">
        <v>10638</v>
      </c>
      <c r="D513" s="16">
        <v>8253.81</v>
      </c>
      <c r="E513" s="16">
        <v>8253.81</v>
      </c>
      <c r="F513" s="17">
        <f t="shared" si="22"/>
        <v>0.77587986463620973</v>
      </c>
      <c r="G513" s="17">
        <f t="shared" si="21"/>
        <v>0.38659531615925058</v>
      </c>
    </row>
    <row r="514" spans="1:7" x14ac:dyDescent="0.25">
      <c r="A514" s="13" t="s">
        <v>201</v>
      </c>
      <c r="B514" s="14">
        <v>13478748</v>
      </c>
      <c r="C514" s="14">
        <v>6994741</v>
      </c>
      <c r="D514" s="14">
        <v>6784839.5999999996</v>
      </c>
      <c r="E514" s="14">
        <v>6784839.5999999996</v>
      </c>
      <c r="F514" s="34">
        <f t="shared" si="22"/>
        <v>0.96999154078757166</v>
      </c>
      <c r="G514" s="34">
        <f t="shared" si="21"/>
        <v>0.50337313228201908</v>
      </c>
    </row>
    <row r="515" spans="1:7" x14ac:dyDescent="0.25">
      <c r="A515" s="15" t="s">
        <v>14</v>
      </c>
      <c r="B515" s="16">
        <v>9287124</v>
      </c>
      <c r="C515" s="16">
        <v>4790740</v>
      </c>
      <c r="D515" s="16">
        <v>4789762.76</v>
      </c>
      <c r="E515" s="16">
        <v>4789762.76</v>
      </c>
      <c r="F515" s="17">
        <f t="shared" si="22"/>
        <v>0.99979601481190794</v>
      </c>
      <c r="G515" s="17">
        <f t="shared" si="21"/>
        <v>0.51574230730633075</v>
      </c>
    </row>
    <row r="516" spans="1:7" x14ac:dyDescent="0.25">
      <c r="A516" s="15" t="s">
        <v>15</v>
      </c>
      <c r="B516" s="16">
        <v>2043167</v>
      </c>
      <c r="C516" s="16">
        <v>1053976</v>
      </c>
      <c r="D516" s="16">
        <v>1053760.8899999999</v>
      </c>
      <c r="E516" s="16">
        <v>1053760.8899999999</v>
      </c>
      <c r="F516" s="17">
        <f t="shared" si="22"/>
        <v>0.99979590616864134</v>
      </c>
      <c r="G516" s="17">
        <f t="shared" si="21"/>
        <v>0.5157487811813718</v>
      </c>
    </row>
    <row r="517" spans="1:7" x14ac:dyDescent="0.25">
      <c r="A517" s="15" t="s">
        <v>16</v>
      </c>
      <c r="B517" s="16">
        <v>130000</v>
      </c>
      <c r="C517" s="16">
        <v>30000</v>
      </c>
      <c r="D517" s="16">
        <v>29999.599999999999</v>
      </c>
      <c r="E517" s="16">
        <v>29999.599999999999</v>
      </c>
      <c r="F517" s="17">
        <f t="shared" si="22"/>
        <v>0.99998666666666658</v>
      </c>
      <c r="G517" s="17">
        <f t="shared" si="21"/>
        <v>0.23076615384615384</v>
      </c>
    </row>
    <row r="518" spans="1:7" x14ac:dyDescent="0.25">
      <c r="A518" s="15" t="s">
        <v>17</v>
      </c>
      <c r="B518" s="16">
        <v>320000</v>
      </c>
      <c r="C518" s="16">
        <v>160000</v>
      </c>
      <c r="D518" s="16">
        <v>101626.55</v>
      </c>
      <c r="E518" s="16">
        <v>101626.55</v>
      </c>
      <c r="F518" s="17">
        <f t="shared" si="22"/>
        <v>0.63516593750000006</v>
      </c>
      <c r="G518" s="17">
        <f t="shared" si="21"/>
        <v>0.31758296875000003</v>
      </c>
    </row>
    <row r="519" spans="1:7" x14ac:dyDescent="0.25">
      <c r="A519" s="15" t="s">
        <v>26</v>
      </c>
      <c r="B519" s="16">
        <v>500000</v>
      </c>
      <c r="C519" s="16">
        <v>295000</v>
      </c>
      <c r="D519" s="16">
        <v>223299.93</v>
      </c>
      <c r="E519" s="16">
        <v>223299.93</v>
      </c>
      <c r="F519" s="17">
        <f t="shared" si="22"/>
        <v>0.75694891525423724</v>
      </c>
      <c r="G519" s="17">
        <f t="shared" si="21"/>
        <v>0.44659985999999996</v>
      </c>
    </row>
    <row r="520" spans="1:7" x14ac:dyDescent="0.25">
      <c r="A520" s="15" t="s">
        <v>18</v>
      </c>
      <c r="B520" s="16">
        <v>718824</v>
      </c>
      <c r="C520" s="16">
        <v>434603</v>
      </c>
      <c r="D520" s="16">
        <v>426241.57</v>
      </c>
      <c r="E520" s="16">
        <v>426241.57</v>
      </c>
      <c r="F520" s="17">
        <f t="shared" si="22"/>
        <v>0.98076076327130735</v>
      </c>
      <c r="G520" s="17">
        <f t="shared" ref="G520:G583" si="27">D520/B520</f>
        <v>0.59297069936451763</v>
      </c>
    </row>
    <row r="521" spans="1:7" x14ac:dyDescent="0.25">
      <c r="A521" s="15" t="s">
        <v>19</v>
      </c>
      <c r="B521" s="16">
        <v>87921</v>
      </c>
      <c r="C521" s="16">
        <v>43479</v>
      </c>
      <c r="D521" s="16">
        <v>40803.26</v>
      </c>
      <c r="E521" s="16">
        <v>40803.26</v>
      </c>
      <c r="F521" s="17">
        <f t="shared" si="22"/>
        <v>0.93845902619655475</v>
      </c>
      <c r="G521" s="17">
        <f t="shared" si="27"/>
        <v>0.46409003537266413</v>
      </c>
    </row>
    <row r="522" spans="1:7" x14ac:dyDescent="0.25">
      <c r="A522" s="15" t="s">
        <v>20</v>
      </c>
      <c r="B522" s="16">
        <v>379897</v>
      </c>
      <c r="C522" s="16">
        <v>180950</v>
      </c>
      <c r="D522" s="16">
        <v>115964.04</v>
      </c>
      <c r="E522" s="16">
        <v>115964.04</v>
      </c>
      <c r="F522" s="17">
        <f t="shared" ref="F522:F585" si="28">D522/C522</f>
        <v>0.64086233766233758</v>
      </c>
      <c r="G522" s="17">
        <f t="shared" si="27"/>
        <v>0.30525126547458914</v>
      </c>
    </row>
    <row r="523" spans="1:7" x14ac:dyDescent="0.25">
      <c r="A523" s="15" t="s">
        <v>39</v>
      </c>
      <c r="B523" s="19">
        <v>994</v>
      </c>
      <c r="C523" s="19">
        <v>581</v>
      </c>
      <c r="D523" s="19">
        <v>581</v>
      </c>
      <c r="E523" s="19">
        <v>581</v>
      </c>
      <c r="F523" s="17">
        <f t="shared" si="28"/>
        <v>1</v>
      </c>
      <c r="G523" s="17">
        <f t="shared" si="27"/>
        <v>0.58450704225352113</v>
      </c>
    </row>
    <row r="524" spans="1:7" x14ac:dyDescent="0.25">
      <c r="A524" s="15" t="s">
        <v>32</v>
      </c>
      <c r="B524" s="16">
        <v>10821</v>
      </c>
      <c r="C524" s="16">
        <v>5412</v>
      </c>
      <c r="D524" s="16">
        <v>2800</v>
      </c>
      <c r="E524" s="16">
        <v>2800</v>
      </c>
      <c r="F524" s="17">
        <f t="shared" si="28"/>
        <v>0.51736881005173685</v>
      </c>
      <c r="G524" s="17">
        <f t="shared" si="27"/>
        <v>0.25875612235468071</v>
      </c>
    </row>
    <row r="525" spans="1:7" x14ac:dyDescent="0.25">
      <c r="A525" s="13" t="s">
        <v>202</v>
      </c>
      <c r="B525" s="14">
        <v>13275193</v>
      </c>
      <c r="C525" s="14">
        <v>6733254</v>
      </c>
      <c r="D525" s="14">
        <v>6354464.8600000003</v>
      </c>
      <c r="E525" s="14">
        <v>6354464.8600000003</v>
      </c>
      <c r="F525" s="34">
        <f t="shared" si="28"/>
        <v>0.94374352430489039</v>
      </c>
      <c r="G525" s="34">
        <f t="shared" si="27"/>
        <v>0.47867212627341843</v>
      </c>
    </row>
    <row r="526" spans="1:7" x14ac:dyDescent="0.25">
      <c r="A526" s="15" t="s">
        <v>14</v>
      </c>
      <c r="B526" s="16">
        <v>8875516</v>
      </c>
      <c r="C526" s="16">
        <v>4392025</v>
      </c>
      <c r="D526" s="16">
        <v>4391986.41</v>
      </c>
      <c r="E526" s="16">
        <v>4391986.41</v>
      </c>
      <c r="F526" s="17">
        <f t="shared" si="28"/>
        <v>0.9999912136201411</v>
      </c>
      <c r="G526" s="17">
        <f t="shared" si="27"/>
        <v>0.49484293758244591</v>
      </c>
    </row>
    <row r="527" spans="1:7" x14ac:dyDescent="0.25">
      <c r="A527" s="15" t="s">
        <v>15</v>
      </c>
      <c r="B527" s="16">
        <v>1952614</v>
      </c>
      <c r="C527" s="16">
        <v>949728</v>
      </c>
      <c r="D527" s="16">
        <v>945526.11</v>
      </c>
      <c r="E527" s="16">
        <v>945526.11</v>
      </c>
      <c r="F527" s="17">
        <f t="shared" si="28"/>
        <v>0.99557569114525424</v>
      </c>
      <c r="G527" s="17">
        <f t="shared" si="27"/>
        <v>0.48423605996884178</v>
      </c>
    </row>
    <row r="528" spans="1:7" x14ac:dyDescent="0.25">
      <c r="A528" s="15" t="s">
        <v>16</v>
      </c>
      <c r="B528" s="16">
        <v>236300</v>
      </c>
      <c r="C528" s="16">
        <v>156300</v>
      </c>
      <c r="D528" s="16">
        <v>156068.5</v>
      </c>
      <c r="E528" s="16">
        <v>156068.5</v>
      </c>
      <c r="F528" s="17">
        <f t="shared" si="28"/>
        <v>0.99851887396033268</v>
      </c>
      <c r="G528" s="17">
        <f t="shared" si="27"/>
        <v>0.66046762589928054</v>
      </c>
    </row>
    <row r="529" spans="1:7" x14ac:dyDescent="0.25">
      <c r="A529" s="15" t="s">
        <v>17</v>
      </c>
      <c r="B529" s="16">
        <v>654559</v>
      </c>
      <c r="C529" s="16">
        <v>389559</v>
      </c>
      <c r="D529" s="16">
        <v>353920.75</v>
      </c>
      <c r="E529" s="16">
        <v>353920.75</v>
      </c>
      <c r="F529" s="17">
        <f t="shared" si="28"/>
        <v>0.90851642498312191</v>
      </c>
      <c r="G529" s="17">
        <f t="shared" si="27"/>
        <v>0.54070106743624335</v>
      </c>
    </row>
    <row r="530" spans="1:7" x14ac:dyDescent="0.25">
      <c r="A530" s="15" t="s">
        <v>26</v>
      </c>
      <c r="B530" s="16">
        <v>545000</v>
      </c>
      <c r="C530" s="16">
        <v>300000</v>
      </c>
      <c r="D530" s="16">
        <v>83519.88</v>
      </c>
      <c r="E530" s="16">
        <v>83519.88</v>
      </c>
      <c r="F530" s="17">
        <f t="shared" si="28"/>
        <v>0.27839960000000002</v>
      </c>
      <c r="G530" s="17">
        <f t="shared" si="27"/>
        <v>0.15324748623853213</v>
      </c>
    </row>
    <row r="531" spans="1:7" x14ac:dyDescent="0.25">
      <c r="A531" s="15" t="s">
        <v>18</v>
      </c>
      <c r="B531" s="16">
        <v>413705</v>
      </c>
      <c r="C531" s="16">
        <v>242334</v>
      </c>
      <c r="D531" s="16">
        <v>158205.10999999999</v>
      </c>
      <c r="E531" s="16">
        <v>158205.10999999999</v>
      </c>
      <c r="F531" s="17">
        <f t="shared" si="28"/>
        <v>0.65283909810426921</v>
      </c>
      <c r="G531" s="17">
        <f t="shared" si="27"/>
        <v>0.38241043738896069</v>
      </c>
    </row>
    <row r="532" spans="1:7" x14ac:dyDescent="0.25">
      <c r="A532" s="15" t="s">
        <v>19</v>
      </c>
      <c r="B532" s="16">
        <v>138485</v>
      </c>
      <c r="C532" s="16">
        <v>68835</v>
      </c>
      <c r="D532" s="16">
        <v>35644.5</v>
      </c>
      <c r="E532" s="16">
        <v>35644.5</v>
      </c>
      <c r="F532" s="17">
        <f t="shared" si="28"/>
        <v>0.51782523425582916</v>
      </c>
      <c r="G532" s="17">
        <f t="shared" si="27"/>
        <v>0.25738888688305595</v>
      </c>
    </row>
    <row r="533" spans="1:7" x14ac:dyDescent="0.25">
      <c r="A533" s="15" t="s">
        <v>20</v>
      </c>
      <c r="B533" s="16">
        <v>437280</v>
      </c>
      <c r="C533" s="16">
        <v>224024</v>
      </c>
      <c r="D533" s="16">
        <v>223832.58</v>
      </c>
      <c r="E533" s="16">
        <v>223832.58</v>
      </c>
      <c r="F533" s="17">
        <f t="shared" si="28"/>
        <v>0.99914553797807371</v>
      </c>
      <c r="G533" s="17">
        <f t="shared" si="27"/>
        <v>0.51187472557628977</v>
      </c>
    </row>
    <row r="534" spans="1:7" x14ac:dyDescent="0.25">
      <c r="A534" s="15" t="s">
        <v>32</v>
      </c>
      <c r="B534" s="16">
        <v>21734</v>
      </c>
      <c r="C534" s="16">
        <v>10449</v>
      </c>
      <c r="D534" s="16">
        <v>5761.02</v>
      </c>
      <c r="E534" s="16">
        <v>5761.02</v>
      </c>
      <c r="F534" s="17">
        <f t="shared" si="28"/>
        <v>0.55134654033878849</v>
      </c>
      <c r="G534" s="17">
        <f t="shared" si="27"/>
        <v>0.26506947639642958</v>
      </c>
    </row>
    <row r="535" spans="1:7" x14ac:dyDescent="0.25">
      <c r="A535" s="13" t="s">
        <v>203</v>
      </c>
      <c r="B535" s="14">
        <v>10827558</v>
      </c>
      <c r="C535" s="14">
        <v>4968939</v>
      </c>
      <c r="D535" s="14">
        <v>4787903.8600000003</v>
      </c>
      <c r="E535" s="14">
        <v>4779488.0199999996</v>
      </c>
      <c r="F535" s="34">
        <f t="shared" si="28"/>
        <v>0.9635666406852651</v>
      </c>
      <c r="G535" s="34">
        <f t="shared" si="27"/>
        <v>0.44219609444715052</v>
      </c>
    </row>
    <row r="536" spans="1:7" x14ac:dyDescent="0.25">
      <c r="A536" s="15" t="s">
        <v>14</v>
      </c>
      <c r="B536" s="16">
        <v>7968650</v>
      </c>
      <c r="C536" s="16">
        <v>3654709</v>
      </c>
      <c r="D536" s="16">
        <v>3643202.63</v>
      </c>
      <c r="E536" s="16">
        <v>3643202.63</v>
      </c>
      <c r="F536" s="17">
        <f t="shared" si="28"/>
        <v>0.99685163168941759</v>
      </c>
      <c r="G536" s="17">
        <f t="shared" si="27"/>
        <v>0.45719194970289823</v>
      </c>
    </row>
    <row r="537" spans="1:7" x14ac:dyDescent="0.25">
      <c r="A537" s="15" t="s">
        <v>15</v>
      </c>
      <c r="B537" s="16">
        <v>1753103</v>
      </c>
      <c r="C537" s="16">
        <v>806577</v>
      </c>
      <c r="D537" s="16">
        <v>805261.11</v>
      </c>
      <c r="E537" s="16">
        <v>805261.11</v>
      </c>
      <c r="F537" s="17">
        <f t="shared" si="28"/>
        <v>0.99836855005783698</v>
      </c>
      <c r="G537" s="17">
        <f t="shared" si="27"/>
        <v>0.45933473960172333</v>
      </c>
    </row>
    <row r="538" spans="1:7" x14ac:dyDescent="0.25">
      <c r="A538" s="15" t="s">
        <v>16</v>
      </c>
      <c r="B538" s="16">
        <v>146100</v>
      </c>
      <c r="C538" s="16">
        <v>73050</v>
      </c>
      <c r="D538" s="16">
        <v>48214</v>
      </c>
      <c r="E538" s="16">
        <v>48214</v>
      </c>
      <c r="F538" s="17">
        <f t="shared" si="28"/>
        <v>0.66001368925393566</v>
      </c>
      <c r="G538" s="17">
        <f t="shared" si="27"/>
        <v>0.33000684462696783</v>
      </c>
    </row>
    <row r="539" spans="1:7" x14ac:dyDescent="0.25">
      <c r="A539" s="15" t="s">
        <v>17</v>
      </c>
      <c r="B539" s="16">
        <v>433900</v>
      </c>
      <c r="C539" s="16">
        <v>148000</v>
      </c>
      <c r="D539" s="16">
        <v>125456.47</v>
      </c>
      <c r="E539" s="16">
        <v>117040.63</v>
      </c>
      <c r="F539" s="17">
        <f t="shared" si="28"/>
        <v>0.84767885135135135</v>
      </c>
      <c r="G539" s="17">
        <f t="shared" si="27"/>
        <v>0.28913682876238767</v>
      </c>
    </row>
    <row r="540" spans="1:7" x14ac:dyDescent="0.25">
      <c r="A540" s="15" t="s">
        <v>26</v>
      </c>
      <c r="B540" s="16">
        <v>150000</v>
      </c>
      <c r="C540" s="16">
        <v>87500</v>
      </c>
      <c r="D540" s="16">
        <v>75541.05</v>
      </c>
      <c r="E540" s="16">
        <v>75541.05</v>
      </c>
      <c r="F540" s="17">
        <f t="shared" si="28"/>
        <v>0.86332628571428571</v>
      </c>
      <c r="G540" s="17">
        <f t="shared" si="27"/>
        <v>0.50360700000000003</v>
      </c>
    </row>
    <row r="541" spans="1:7" x14ac:dyDescent="0.25">
      <c r="A541" s="15" t="s">
        <v>18</v>
      </c>
      <c r="B541" s="16">
        <v>162022</v>
      </c>
      <c r="C541" s="16">
        <v>94499</v>
      </c>
      <c r="D541" s="16">
        <v>58814.92</v>
      </c>
      <c r="E541" s="16">
        <v>58814.92</v>
      </c>
      <c r="F541" s="17">
        <f t="shared" si="28"/>
        <v>0.62238669192266582</v>
      </c>
      <c r="G541" s="17">
        <f t="shared" si="27"/>
        <v>0.36300576464924517</v>
      </c>
    </row>
    <row r="542" spans="1:7" x14ac:dyDescent="0.25">
      <c r="A542" s="15" t="s">
        <v>19</v>
      </c>
      <c r="B542" s="16">
        <v>31121</v>
      </c>
      <c r="C542" s="16">
        <v>15234</v>
      </c>
      <c r="D542" s="16">
        <v>2741.03</v>
      </c>
      <c r="E542" s="16">
        <v>2741.03</v>
      </c>
      <c r="F542" s="17">
        <f t="shared" si="28"/>
        <v>0.17992844952080872</v>
      </c>
      <c r="G542" s="17">
        <f t="shared" si="27"/>
        <v>8.8076539956942271E-2</v>
      </c>
    </row>
    <row r="543" spans="1:7" x14ac:dyDescent="0.25">
      <c r="A543" s="15" t="s">
        <v>20</v>
      </c>
      <c r="B543" s="16">
        <v>171970</v>
      </c>
      <c r="C543" s="16">
        <v>84022</v>
      </c>
      <c r="D543" s="16">
        <v>28663.29</v>
      </c>
      <c r="E543" s="16">
        <v>28663.29</v>
      </c>
      <c r="F543" s="17">
        <f t="shared" si="28"/>
        <v>0.34114029658898859</v>
      </c>
      <c r="G543" s="17">
        <f t="shared" si="27"/>
        <v>0.16667610629761007</v>
      </c>
    </row>
    <row r="544" spans="1:7" x14ac:dyDescent="0.25">
      <c r="A544" s="15" t="s">
        <v>32</v>
      </c>
      <c r="B544" s="16">
        <v>10692</v>
      </c>
      <c r="C544" s="16">
        <v>5348</v>
      </c>
      <c r="D544" s="19">
        <v>9.36</v>
      </c>
      <c r="E544" s="19">
        <v>9.36</v>
      </c>
      <c r="F544" s="17">
        <f t="shared" si="28"/>
        <v>1.7501869857890799E-3</v>
      </c>
      <c r="G544" s="17">
        <f t="shared" si="27"/>
        <v>8.7542087542087535E-4</v>
      </c>
    </row>
    <row r="545" spans="1:7" ht="36" x14ac:dyDescent="0.25">
      <c r="A545" s="10" t="s">
        <v>204</v>
      </c>
      <c r="B545" s="11">
        <v>120000</v>
      </c>
      <c r="C545" s="11">
        <v>70000</v>
      </c>
      <c r="D545" s="11">
        <v>68960.06</v>
      </c>
      <c r="E545" s="11">
        <v>68960.06</v>
      </c>
      <c r="F545" s="12">
        <f t="shared" si="28"/>
        <v>0.98514371428571423</v>
      </c>
      <c r="G545" s="12">
        <f t="shared" si="27"/>
        <v>0.57466716666666662</v>
      </c>
    </row>
    <row r="546" spans="1:7" ht="24" x14ac:dyDescent="0.25">
      <c r="A546" s="13" t="s">
        <v>140</v>
      </c>
      <c r="B546" s="14">
        <v>120000</v>
      </c>
      <c r="C546" s="14">
        <v>70000</v>
      </c>
      <c r="D546" s="14">
        <v>68960.06</v>
      </c>
      <c r="E546" s="14">
        <v>68960.06</v>
      </c>
      <c r="F546" s="34">
        <f t="shared" si="28"/>
        <v>0.98514371428571423</v>
      </c>
      <c r="G546" s="34">
        <f t="shared" si="27"/>
        <v>0.57466716666666662</v>
      </c>
    </row>
    <row r="547" spans="1:7" x14ac:dyDescent="0.25">
      <c r="A547" s="15" t="s">
        <v>16</v>
      </c>
      <c r="B547" s="16">
        <v>120000</v>
      </c>
      <c r="C547" s="16">
        <v>70000</v>
      </c>
      <c r="D547" s="16">
        <v>68960.06</v>
      </c>
      <c r="E547" s="16">
        <v>68960.06</v>
      </c>
      <c r="F547" s="17">
        <f t="shared" si="28"/>
        <v>0.98514371428571423</v>
      </c>
      <c r="G547" s="17">
        <f t="shared" si="27"/>
        <v>0.57466716666666662</v>
      </c>
    </row>
    <row r="548" spans="1:7" x14ac:dyDescent="0.25">
      <c r="A548" s="35" t="s">
        <v>98</v>
      </c>
      <c r="B548" s="36">
        <f>B549</f>
        <v>2929181</v>
      </c>
      <c r="C548" s="36">
        <f t="shared" ref="C548:E548" si="29">C549</f>
        <v>976181</v>
      </c>
      <c r="D548" s="36">
        <f t="shared" si="29"/>
        <v>0</v>
      </c>
      <c r="E548" s="36">
        <f t="shared" si="29"/>
        <v>0</v>
      </c>
      <c r="F548" s="9">
        <f t="shared" si="28"/>
        <v>0</v>
      </c>
      <c r="G548" s="9">
        <f t="shared" si="27"/>
        <v>0</v>
      </c>
    </row>
    <row r="549" spans="1:7" ht="24" x14ac:dyDescent="0.25">
      <c r="A549" s="10" t="s">
        <v>205</v>
      </c>
      <c r="B549" s="11">
        <v>2929181</v>
      </c>
      <c r="C549" s="11">
        <v>976181</v>
      </c>
      <c r="D549" s="21"/>
      <c r="E549" s="21"/>
      <c r="F549" s="12">
        <f t="shared" si="28"/>
        <v>0</v>
      </c>
      <c r="G549" s="12">
        <f t="shared" si="27"/>
        <v>0</v>
      </c>
    </row>
    <row r="550" spans="1:7" ht="36" x14ac:dyDescent="0.25">
      <c r="A550" s="13" t="s">
        <v>206</v>
      </c>
      <c r="B550" s="14">
        <v>2929181</v>
      </c>
      <c r="C550" s="14">
        <v>976181</v>
      </c>
      <c r="D550" s="37"/>
      <c r="E550" s="37"/>
      <c r="F550" s="34">
        <f t="shared" si="28"/>
        <v>0</v>
      </c>
      <c r="G550" s="34">
        <f t="shared" si="27"/>
        <v>0</v>
      </c>
    </row>
    <row r="551" spans="1:7" ht="24" x14ac:dyDescent="0.25">
      <c r="A551" s="15" t="s">
        <v>49</v>
      </c>
      <c r="B551" s="16">
        <v>2929181</v>
      </c>
      <c r="C551" s="16">
        <v>976181</v>
      </c>
      <c r="D551" s="18"/>
      <c r="E551" s="18"/>
      <c r="F551" s="17">
        <f t="shared" si="28"/>
        <v>0</v>
      </c>
      <c r="G551" s="17">
        <f t="shared" si="27"/>
        <v>0</v>
      </c>
    </row>
    <row r="552" spans="1:7" x14ac:dyDescent="0.25">
      <c r="A552" s="35" t="s">
        <v>101</v>
      </c>
      <c r="B552" s="36">
        <f>B553</f>
        <v>-1555436</v>
      </c>
      <c r="C552" s="36">
        <f t="shared" ref="C552:E552" si="30">C553</f>
        <v>23507124</v>
      </c>
      <c r="D552" s="36">
        <f t="shared" si="30"/>
        <v>0</v>
      </c>
      <c r="E552" s="36">
        <f t="shared" si="30"/>
        <v>0</v>
      </c>
      <c r="F552" s="9">
        <v>0</v>
      </c>
      <c r="G552" s="9">
        <f t="shared" si="27"/>
        <v>0</v>
      </c>
    </row>
    <row r="553" spans="1:7" x14ac:dyDescent="0.25">
      <c r="A553" s="13" t="s">
        <v>102</v>
      </c>
      <c r="B553" s="14">
        <f>B554+B557</f>
        <v>-1555436</v>
      </c>
      <c r="C553" s="14">
        <f t="shared" ref="C553:E553" si="31">C554+C557</f>
        <v>23507124</v>
      </c>
      <c r="D553" s="14">
        <f t="shared" si="31"/>
        <v>0</v>
      </c>
      <c r="E553" s="14">
        <f t="shared" si="31"/>
        <v>0</v>
      </c>
      <c r="F553" s="12">
        <v>0</v>
      </c>
      <c r="G553" s="12">
        <f t="shared" si="27"/>
        <v>0</v>
      </c>
    </row>
    <row r="554" spans="1:7" ht="48" x14ac:dyDescent="0.25">
      <c r="A554" s="10" t="s">
        <v>207</v>
      </c>
      <c r="B554" s="11">
        <v>23507124</v>
      </c>
      <c r="C554" s="11">
        <v>23507124</v>
      </c>
      <c r="D554" s="21"/>
      <c r="E554" s="21"/>
      <c r="F554" s="12">
        <v>0</v>
      </c>
      <c r="G554" s="12">
        <f t="shared" si="27"/>
        <v>0</v>
      </c>
    </row>
    <row r="555" spans="1:7" ht="24" x14ac:dyDescent="0.25">
      <c r="A555" s="13" t="s">
        <v>141</v>
      </c>
      <c r="B555" s="14">
        <v>23507124</v>
      </c>
      <c r="C555" s="14">
        <v>23507124</v>
      </c>
      <c r="D555" s="37"/>
      <c r="E555" s="37"/>
      <c r="F555" s="34">
        <v>0</v>
      </c>
      <c r="G555" s="34">
        <f t="shared" si="27"/>
        <v>0</v>
      </c>
    </row>
    <row r="556" spans="1:7" ht="24" x14ac:dyDescent="0.25">
      <c r="A556" s="15" t="s">
        <v>104</v>
      </c>
      <c r="B556" s="16">
        <v>23507124</v>
      </c>
      <c r="C556" s="16">
        <v>23507124</v>
      </c>
      <c r="D556" s="18"/>
      <c r="E556" s="18"/>
      <c r="F556" s="17">
        <v>0</v>
      </c>
      <c r="G556" s="17">
        <f t="shared" si="27"/>
        <v>0</v>
      </c>
    </row>
    <row r="557" spans="1:7" ht="48" x14ac:dyDescent="0.25">
      <c r="A557" s="10" t="s">
        <v>208</v>
      </c>
      <c r="B557" s="11">
        <v>-25062560</v>
      </c>
      <c r="C557" s="21"/>
      <c r="D557" s="21"/>
      <c r="E557" s="21"/>
      <c r="F557" s="12">
        <v>0</v>
      </c>
      <c r="G557" s="12">
        <f t="shared" si="27"/>
        <v>0</v>
      </c>
    </row>
    <row r="558" spans="1:7" ht="24" x14ac:dyDescent="0.25">
      <c r="A558" s="13" t="s">
        <v>141</v>
      </c>
      <c r="B558" s="14">
        <v>-25062560</v>
      </c>
      <c r="C558" s="37"/>
      <c r="D558" s="37"/>
      <c r="E558" s="37"/>
      <c r="F558" s="34">
        <v>0</v>
      </c>
      <c r="G558" s="34">
        <f t="shared" si="27"/>
        <v>0</v>
      </c>
    </row>
    <row r="559" spans="1:7" ht="24" x14ac:dyDescent="0.25">
      <c r="A559" s="15" t="s">
        <v>104</v>
      </c>
      <c r="B559" s="16">
        <v>-25062560</v>
      </c>
      <c r="C559" s="18"/>
      <c r="D559" s="18"/>
      <c r="E559" s="18"/>
      <c r="F559" s="17">
        <v>0</v>
      </c>
      <c r="G559" s="17">
        <f t="shared" si="27"/>
        <v>0</v>
      </c>
    </row>
    <row r="560" spans="1:7" x14ac:dyDescent="0.25">
      <c r="A560" s="4" t="s">
        <v>106</v>
      </c>
      <c r="B560" s="5">
        <f>B561+B573+B655+B663+B675+B684</f>
        <v>1432995129</v>
      </c>
      <c r="C560" s="5">
        <f t="shared" ref="C560:E560" si="32">C561+C573+C655+C663+C675+C684</f>
        <v>566702682</v>
      </c>
      <c r="D560" s="5">
        <f t="shared" si="32"/>
        <v>185177392.61999997</v>
      </c>
      <c r="E560" s="5">
        <f t="shared" si="32"/>
        <v>173328151.60999998</v>
      </c>
      <c r="F560" s="6">
        <f t="shared" si="28"/>
        <v>0.32676286614080285</v>
      </c>
      <c r="G560" s="6">
        <f t="shared" si="27"/>
        <v>0.12922402098409363</v>
      </c>
    </row>
    <row r="561" spans="1:7" x14ac:dyDescent="0.25">
      <c r="A561" s="30" t="s">
        <v>11</v>
      </c>
      <c r="B561" s="8">
        <f>B562</f>
        <v>1811440</v>
      </c>
      <c r="C561" s="8">
        <f t="shared" ref="C561:E561" si="33">C562</f>
        <v>1811440</v>
      </c>
      <c r="D561" s="8">
        <f t="shared" si="33"/>
        <v>148592.4</v>
      </c>
      <c r="E561" s="8">
        <f t="shared" si="33"/>
        <v>148592.4</v>
      </c>
      <c r="F561" s="9">
        <f>D561/C561</f>
        <v>8.2029987192509826E-2</v>
      </c>
      <c r="G561" s="9">
        <f>D561/B561</f>
        <v>8.2029987192509826E-2</v>
      </c>
    </row>
    <row r="562" spans="1:7" ht="24" x14ac:dyDescent="0.25">
      <c r="A562" s="10" t="s">
        <v>138</v>
      </c>
      <c r="B562" s="11">
        <v>1811440</v>
      </c>
      <c r="C562" s="11">
        <v>1811440</v>
      </c>
      <c r="D562" s="11">
        <v>148592.4</v>
      </c>
      <c r="E562" s="11">
        <v>148592.4</v>
      </c>
      <c r="F562" s="12">
        <f t="shared" si="28"/>
        <v>8.2029987192509826E-2</v>
      </c>
      <c r="G562" s="12">
        <f t="shared" si="27"/>
        <v>8.2029987192509826E-2</v>
      </c>
    </row>
    <row r="563" spans="1:7" ht="24" x14ac:dyDescent="0.25">
      <c r="A563" s="13" t="s">
        <v>139</v>
      </c>
      <c r="B563" s="14">
        <v>135000</v>
      </c>
      <c r="C563" s="14">
        <v>135000</v>
      </c>
      <c r="D563" s="37"/>
      <c r="E563" s="37"/>
      <c r="F563" s="34">
        <f t="shared" si="28"/>
        <v>0</v>
      </c>
      <c r="G563" s="34">
        <f t="shared" si="27"/>
        <v>0</v>
      </c>
    </row>
    <row r="564" spans="1:7" ht="24" x14ac:dyDescent="0.25">
      <c r="A564" s="15" t="s">
        <v>107</v>
      </c>
      <c r="B564" s="16">
        <v>135000</v>
      </c>
      <c r="C564" s="16">
        <v>135000</v>
      </c>
      <c r="D564" s="18"/>
      <c r="E564" s="18"/>
      <c r="F564" s="12">
        <f t="shared" si="28"/>
        <v>0</v>
      </c>
      <c r="G564" s="12">
        <f t="shared" si="27"/>
        <v>0</v>
      </c>
    </row>
    <row r="565" spans="1:7" ht="24" x14ac:dyDescent="0.25">
      <c r="A565" s="13" t="s">
        <v>141</v>
      </c>
      <c r="B565" s="14">
        <v>960000</v>
      </c>
      <c r="C565" s="14">
        <v>960000</v>
      </c>
      <c r="D565" s="37"/>
      <c r="E565" s="37"/>
      <c r="F565" s="34">
        <f t="shared" si="28"/>
        <v>0</v>
      </c>
      <c r="G565" s="34">
        <f t="shared" si="27"/>
        <v>0</v>
      </c>
    </row>
    <row r="566" spans="1:7" ht="24" x14ac:dyDescent="0.25">
      <c r="A566" s="15" t="s">
        <v>107</v>
      </c>
      <c r="B566" s="16">
        <v>960000</v>
      </c>
      <c r="C566" s="16">
        <v>960000</v>
      </c>
      <c r="D566" s="18"/>
      <c r="E566" s="18"/>
      <c r="F566" s="12">
        <f t="shared" si="28"/>
        <v>0</v>
      </c>
      <c r="G566" s="12">
        <f t="shared" si="27"/>
        <v>0</v>
      </c>
    </row>
    <row r="567" spans="1:7" ht="36" x14ac:dyDescent="0.25">
      <c r="A567" s="13" t="s">
        <v>144</v>
      </c>
      <c r="B567" s="14">
        <v>551640</v>
      </c>
      <c r="C567" s="14">
        <v>551640</v>
      </c>
      <c r="D567" s="37"/>
      <c r="E567" s="37"/>
      <c r="F567" s="34">
        <f t="shared" si="28"/>
        <v>0</v>
      </c>
      <c r="G567" s="34">
        <f t="shared" si="27"/>
        <v>0</v>
      </c>
    </row>
    <row r="568" spans="1:7" ht="24" x14ac:dyDescent="0.25">
      <c r="A568" s="15" t="s">
        <v>107</v>
      </c>
      <c r="B568" s="16">
        <v>551640</v>
      </c>
      <c r="C568" s="16">
        <v>551640</v>
      </c>
      <c r="D568" s="18"/>
      <c r="E568" s="18"/>
      <c r="F568" s="12">
        <f t="shared" si="28"/>
        <v>0</v>
      </c>
      <c r="G568" s="12">
        <f t="shared" si="27"/>
        <v>0</v>
      </c>
    </row>
    <row r="569" spans="1:7" ht="24" x14ac:dyDescent="0.25">
      <c r="A569" s="13" t="s">
        <v>145</v>
      </c>
      <c r="B569" s="14">
        <v>65000</v>
      </c>
      <c r="C569" s="14">
        <v>65000</v>
      </c>
      <c r="D569" s="14">
        <v>48794.400000000001</v>
      </c>
      <c r="E569" s="14">
        <v>48794.400000000001</v>
      </c>
      <c r="F569" s="34">
        <f t="shared" si="28"/>
        <v>0.7506830769230769</v>
      </c>
      <c r="G569" s="34">
        <f t="shared" si="27"/>
        <v>0.7506830769230769</v>
      </c>
    </row>
    <row r="570" spans="1:7" ht="24" x14ac:dyDescent="0.25">
      <c r="A570" s="15" t="s">
        <v>107</v>
      </c>
      <c r="B570" s="16">
        <v>65000</v>
      </c>
      <c r="C570" s="16">
        <v>65000</v>
      </c>
      <c r="D570" s="16">
        <v>48794.400000000001</v>
      </c>
      <c r="E570" s="16">
        <v>48794.400000000001</v>
      </c>
      <c r="F570" s="12">
        <f t="shared" si="28"/>
        <v>0.7506830769230769</v>
      </c>
      <c r="G570" s="12">
        <f t="shared" si="27"/>
        <v>0.7506830769230769</v>
      </c>
    </row>
    <row r="571" spans="1:7" ht="24" x14ac:dyDescent="0.25">
      <c r="A571" s="13" t="s">
        <v>147</v>
      </c>
      <c r="B571" s="14">
        <v>99800</v>
      </c>
      <c r="C571" s="14">
        <v>99800</v>
      </c>
      <c r="D571" s="14">
        <v>99798</v>
      </c>
      <c r="E571" s="14">
        <v>99798</v>
      </c>
      <c r="F571" s="34">
        <f t="shared" si="28"/>
        <v>0.99997995991983968</v>
      </c>
      <c r="G571" s="34">
        <f t="shared" si="27"/>
        <v>0.99997995991983968</v>
      </c>
    </row>
    <row r="572" spans="1:7" ht="24" x14ac:dyDescent="0.25">
      <c r="A572" s="15" t="s">
        <v>107</v>
      </c>
      <c r="B572" s="16">
        <v>99800</v>
      </c>
      <c r="C572" s="16">
        <v>99800</v>
      </c>
      <c r="D572" s="16">
        <v>99798</v>
      </c>
      <c r="E572" s="16">
        <v>99798</v>
      </c>
      <c r="F572" s="12">
        <f t="shared" si="28"/>
        <v>0.99997995991983968</v>
      </c>
      <c r="G572" s="12">
        <f t="shared" si="27"/>
        <v>0.99997995991983968</v>
      </c>
    </row>
    <row r="573" spans="1:7" x14ac:dyDescent="0.25">
      <c r="A573" s="35" t="s">
        <v>33</v>
      </c>
      <c r="B573" s="36">
        <f>B574+B579+B586+B589+B594+B601+B607+B618+B629+B632+B636+B639+B642</f>
        <v>994639148</v>
      </c>
      <c r="C573" s="36">
        <f t="shared" ref="C573:E573" si="34">C574+C579+C586+C589+C594+C601+C607+C618+C629+C632+C636+C639+C642</f>
        <v>419827371</v>
      </c>
      <c r="D573" s="36">
        <f t="shared" si="34"/>
        <v>163346441.63999999</v>
      </c>
      <c r="E573" s="36">
        <f t="shared" si="34"/>
        <v>151497200.63</v>
      </c>
      <c r="F573" s="9">
        <f>D573/C573</f>
        <v>0.38908001936824643</v>
      </c>
      <c r="G573" s="9">
        <f>D573/B573</f>
        <v>0.16422683740978189</v>
      </c>
    </row>
    <row r="574" spans="1:7" x14ac:dyDescent="0.25">
      <c r="A574" s="10" t="s">
        <v>148</v>
      </c>
      <c r="B574" s="11">
        <v>87886489</v>
      </c>
      <c r="C574" s="11">
        <v>33934583</v>
      </c>
      <c r="D574" s="11">
        <v>8923747.5899999999</v>
      </c>
      <c r="E574" s="11">
        <v>8923747.5899999999</v>
      </c>
      <c r="F574" s="12">
        <f t="shared" si="28"/>
        <v>0.26296912474215461</v>
      </c>
      <c r="G574" s="12">
        <f t="shared" si="27"/>
        <v>0.10153719521097264</v>
      </c>
    </row>
    <row r="575" spans="1:7" ht="24" x14ac:dyDescent="0.25">
      <c r="A575" s="13" t="s">
        <v>151</v>
      </c>
      <c r="B575" s="14">
        <v>700000</v>
      </c>
      <c r="C575" s="14">
        <v>700000</v>
      </c>
      <c r="D575" s="37"/>
      <c r="E575" s="37"/>
      <c r="F575" s="34">
        <f t="shared" si="28"/>
        <v>0</v>
      </c>
      <c r="G575" s="34">
        <f t="shared" si="27"/>
        <v>0</v>
      </c>
    </row>
    <row r="576" spans="1:7" x14ac:dyDescent="0.25">
      <c r="A576" s="15" t="s">
        <v>108</v>
      </c>
      <c r="B576" s="16">
        <v>700000</v>
      </c>
      <c r="C576" s="16">
        <v>700000</v>
      </c>
      <c r="D576" s="18"/>
      <c r="E576" s="18"/>
      <c r="F576" s="12">
        <f t="shared" si="28"/>
        <v>0</v>
      </c>
      <c r="G576" s="12">
        <f t="shared" si="27"/>
        <v>0</v>
      </c>
    </row>
    <row r="577" spans="1:7" ht="24" x14ac:dyDescent="0.25">
      <c r="A577" s="13" t="s">
        <v>146</v>
      </c>
      <c r="B577" s="14">
        <v>87186489</v>
      </c>
      <c r="C577" s="14">
        <v>33234583</v>
      </c>
      <c r="D577" s="14">
        <v>8923747.5899999999</v>
      </c>
      <c r="E577" s="14">
        <v>8923747.5899999999</v>
      </c>
      <c r="F577" s="34">
        <f t="shared" si="28"/>
        <v>0.26850788499437467</v>
      </c>
      <c r="G577" s="34">
        <f t="shared" si="27"/>
        <v>0.102352413686483</v>
      </c>
    </row>
    <row r="578" spans="1:7" x14ac:dyDescent="0.25">
      <c r="A578" s="15" t="s">
        <v>108</v>
      </c>
      <c r="B578" s="16">
        <v>87186489</v>
      </c>
      <c r="C578" s="16">
        <v>33234583</v>
      </c>
      <c r="D578" s="16">
        <v>8923747.5899999999</v>
      </c>
      <c r="E578" s="16">
        <v>8923747.5899999999</v>
      </c>
      <c r="F578" s="12">
        <f t="shared" si="28"/>
        <v>0.26850788499437467</v>
      </c>
      <c r="G578" s="12">
        <f t="shared" si="27"/>
        <v>0.102352413686483</v>
      </c>
    </row>
    <row r="579" spans="1:7" ht="36" x14ac:dyDescent="0.25">
      <c r="A579" s="10" t="s">
        <v>152</v>
      </c>
      <c r="B579" s="11">
        <v>147638988</v>
      </c>
      <c r="C579" s="11">
        <v>13968452</v>
      </c>
      <c r="D579" s="11">
        <v>13732594.130000001</v>
      </c>
      <c r="E579" s="11">
        <v>13732594.130000001</v>
      </c>
      <c r="F579" s="12">
        <f t="shared" si="28"/>
        <v>0.9831149600542709</v>
      </c>
      <c r="G579" s="12">
        <f t="shared" si="27"/>
        <v>9.3014686134261504E-2</v>
      </c>
    </row>
    <row r="580" spans="1:7" x14ac:dyDescent="0.25">
      <c r="A580" s="13" t="s">
        <v>150</v>
      </c>
      <c r="B580" s="14">
        <v>3000000</v>
      </c>
      <c r="C580" s="37"/>
      <c r="D580" s="37"/>
      <c r="E580" s="37"/>
      <c r="F580" s="34">
        <v>0</v>
      </c>
      <c r="G580" s="34">
        <f t="shared" si="27"/>
        <v>0</v>
      </c>
    </row>
    <row r="581" spans="1:7" x14ac:dyDescent="0.25">
      <c r="A581" s="15" t="s">
        <v>108</v>
      </c>
      <c r="B581" s="16">
        <v>3000000</v>
      </c>
      <c r="C581" s="18"/>
      <c r="D581" s="18"/>
      <c r="E581" s="18"/>
      <c r="F581" s="12">
        <v>0</v>
      </c>
      <c r="G581" s="12">
        <f t="shared" si="27"/>
        <v>0</v>
      </c>
    </row>
    <row r="582" spans="1:7" ht="24" x14ac:dyDescent="0.25">
      <c r="A582" s="13" t="s">
        <v>153</v>
      </c>
      <c r="B582" s="14">
        <v>5000000</v>
      </c>
      <c r="C582" s="37"/>
      <c r="D582" s="37"/>
      <c r="E582" s="37"/>
      <c r="F582" s="34">
        <v>0</v>
      </c>
      <c r="G582" s="34">
        <f t="shared" si="27"/>
        <v>0</v>
      </c>
    </row>
    <row r="583" spans="1:7" x14ac:dyDescent="0.25">
      <c r="A583" s="15" t="s">
        <v>108</v>
      </c>
      <c r="B583" s="16">
        <v>5000000</v>
      </c>
      <c r="C583" s="18"/>
      <c r="D583" s="18"/>
      <c r="E583" s="18"/>
      <c r="F583" s="12">
        <v>0</v>
      </c>
      <c r="G583" s="12">
        <f t="shared" si="27"/>
        <v>0</v>
      </c>
    </row>
    <row r="584" spans="1:7" ht="24" x14ac:dyDescent="0.25">
      <c r="A584" s="13" t="s">
        <v>146</v>
      </c>
      <c r="B584" s="14">
        <v>139638988</v>
      </c>
      <c r="C584" s="14">
        <v>13968452</v>
      </c>
      <c r="D584" s="14">
        <v>13732594.130000001</v>
      </c>
      <c r="E584" s="14">
        <v>13732594.130000001</v>
      </c>
      <c r="F584" s="34">
        <f t="shared" si="28"/>
        <v>0.9831149600542709</v>
      </c>
      <c r="G584" s="34">
        <f t="shared" ref="G584:G652" si="35">D584/B584</f>
        <v>9.8343552375214874E-2</v>
      </c>
    </row>
    <row r="585" spans="1:7" x14ac:dyDescent="0.25">
      <c r="A585" s="15" t="s">
        <v>108</v>
      </c>
      <c r="B585" s="16">
        <v>139638988</v>
      </c>
      <c r="C585" s="16">
        <v>13968452</v>
      </c>
      <c r="D585" s="16">
        <v>13732594.130000001</v>
      </c>
      <c r="E585" s="16">
        <v>13732594.130000001</v>
      </c>
      <c r="F585" s="12">
        <f t="shared" si="28"/>
        <v>0.9831149600542709</v>
      </c>
      <c r="G585" s="12">
        <f t="shared" si="35"/>
        <v>9.8343552375214874E-2</v>
      </c>
    </row>
    <row r="586" spans="1:7" ht="60" x14ac:dyDescent="0.25">
      <c r="A586" s="10" t="s">
        <v>155</v>
      </c>
      <c r="B586" s="11">
        <v>7120000</v>
      </c>
      <c r="C586" s="21"/>
      <c r="D586" s="21"/>
      <c r="E586" s="21"/>
      <c r="F586" s="12">
        <v>0</v>
      </c>
      <c r="G586" s="12">
        <f t="shared" si="35"/>
        <v>0</v>
      </c>
    </row>
    <row r="587" spans="1:7" ht="24" x14ac:dyDescent="0.25">
      <c r="A587" s="13" t="s">
        <v>146</v>
      </c>
      <c r="B587" s="14">
        <v>7120000</v>
      </c>
      <c r="C587" s="37"/>
      <c r="D587" s="37"/>
      <c r="E587" s="37"/>
      <c r="F587" s="34">
        <v>0</v>
      </c>
      <c r="G587" s="34">
        <f t="shared" si="35"/>
        <v>0</v>
      </c>
    </row>
    <row r="588" spans="1:7" x14ac:dyDescent="0.25">
      <c r="A588" s="15" t="s">
        <v>108</v>
      </c>
      <c r="B588" s="16">
        <v>7120000</v>
      </c>
      <c r="C588" s="18"/>
      <c r="D588" s="18"/>
      <c r="E588" s="18"/>
      <c r="F588" s="12">
        <v>0</v>
      </c>
      <c r="G588" s="12">
        <f t="shared" si="35"/>
        <v>0</v>
      </c>
    </row>
    <row r="589" spans="1:7" ht="36" x14ac:dyDescent="0.25">
      <c r="A589" s="10" t="s">
        <v>156</v>
      </c>
      <c r="B589" s="11">
        <v>3900000</v>
      </c>
      <c r="C589" s="21"/>
      <c r="D589" s="21"/>
      <c r="E589" s="21"/>
      <c r="F589" s="12">
        <v>0</v>
      </c>
      <c r="G589" s="12">
        <f t="shared" si="35"/>
        <v>0</v>
      </c>
    </row>
    <row r="590" spans="1:7" ht="24" x14ac:dyDescent="0.25">
      <c r="A590" s="13" t="s">
        <v>157</v>
      </c>
      <c r="B590" s="14">
        <v>2700000</v>
      </c>
      <c r="C590" s="37"/>
      <c r="D590" s="37"/>
      <c r="E590" s="37"/>
      <c r="F590" s="34">
        <v>0</v>
      </c>
      <c r="G590" s="34">
        <f t="shared" si="35"/>
        <v>0</v>
      </c>
    </row>
    <row r="591" spans="1:7" x14ac:dyDescent="0.25">
      <c r="A591" s="15" t="s">
        <v>108</v>
      </c>
      <c r="B591" s="16">
        <v>2700000</v>
      </c>
      <c r="C591" s="18"/>
      <c r="D591" s="18"/>
      <c r="E591" s="18"/>
      <c r="F591" s="12">
        <v>0</v>
      </c>
      <c r="G591" s="12">
        <f t="shared" si="35"/>
        <v>0</v>
      </c>
    </row>
    <row r="592" spans="1:7" ht="24" x14ac:dyDescent="0.25">
      <c r="A592" s="13" t="s">
        <v>146</v>
      </c>
      <c r="B592" s="14">
        <v>1200000</v>
      </c>
      <c r="C592" s="37"/>
      <c r="D592" s="37"/>
      <c r="E592" s="37"/>
      <c r="F592" s="34">
        <v>0</v>
      </c>
      <c r="G592" s="34">
        <f t="shared" si="35"/>
        <v>0</v>
      </c>
    </row>
    <row r="593" spans="1:7" x14ac:dyDescent="0.25">
      <c r="A593" s="15" t="s">
        <v>108</v>
      </c>
      <c r="B593" s="16">
        <v>1200000</v>
      </c>
      <c r="C593" s="18"/>
      <c r="D593" s="18"/>
      <c r="E593" s="18"/>
      <c r="F593" s="12">
        <v>0</v>
      </c>
      <c r="G593" s="12">
        <f t="shared" si="35"/>
        <v>0</v>
      </c>
    </row>
    <row r="594" spans="1:7" ht="24" x14ac:dyDescent="0.25">
      <c r="A594" s="10" t="s">
        <v>171</v>
      </c>
      <c r="B594" s="11">
        <v>10970000</v>
      </c>
      <c r="C594" s="11">
        <v>937965</v>
      </c>
      <c r="D594" s="11">
        <v>937964.89</v>
      </c>
      <c r="E594" s="11">
        <v>937964.89</v>
      </c>
      <c r="F594" s="12">
        <f t="shared" ref="F594:F662" si="36">D594/C594</f>
        <v>0.9999998827248352</v>
      </c>
      <c r="G594" s="12">
        <f t="shared" si="35"/>
        <v>8.5502724703737473E-2</v>
      </c>
    </row>
    <row r="595" spans="1:7" ht="24" x14ac:dyDescent="0.25">
      <c r="A595" s="13" t="s">
        <v>157</v>
      </c>
      <c r="B595" s="14">
        <v>3000000</v>
      </c>
      <c r="C595" s="37"/>
      <c r="D595" s="37"/>
      <c r="E595" s="37"/>
      <c r="F595" s="34">
        <v>0</v>
      </c>
      <c r="G595" s="34">
        <f t="shared" si="35"/>
        <v>0</v>
      </c>
    </row>
    <row r="596" spans="1:7" x14ac:dyDescent="0.25">
      <c r="A596" s="15" t="s">
        <v>108</v>
      </c>
      <c r="B596" s="16">
        <v>3000000</v>
      </c>
      <c r="C596" s="18"/>
      <c r="D596" s="18"/>
      <c r="E596" s="18"/>
      <c r="F596" s="12">
        <v>0</v>
      </c>
      <c r="G596" s="12">
        <f t="shared" si="35"/>
        <v>0</v>
      </c>
    </row>
    <row r="597" spans="1:7" ht="24" x14ac:dyDescent="0.25">
      <c r="A597" s="13" t="s">
        <v>172</v>
      </c>
      <c r="B597" s="14">
        <v>2000000</v>
      </c>
      <c r="C597" s="37"/>
      <c r="D597" s="37"/>
      <c r="E597" s="37"/>
      <c r="F597" s="34">
        <v>0</v>
      </c>
      <c r="G597" s="34">
        <f t="shared" si="35"/>
        <v>0</v>
      </c>
    </row>
    <row r="598" spans="1:7" x14ac:dyDescent="0.25">
      <c r="A598" s="15" t="s">
        <v>108</v>
      </c>
      <c r="B598" s="16">
        <v>2000000</v>
      </c>
      <c r="C598" s="18"/>
      <c r="D598" s="18"/>
      <c r="E598" s="18"/>
      <c r="F598" s="12">
        <v>0</v>
      </c>
      <c r="G598" s="12">
        <f t="shared" si="35"/>
        <v>0</v>
      </c>
    </row>
    <row r="599" spans="1:7" ht="24" x14ac:dyDescent="0.25">
      <c r="A599" s="13" t="s">
        <v>146</v>
      </c>
      <c r="B599" s="14">
        <v>5970000</v>
      </c>
      <c r="C599" s="14">
        <v>937965</v>
      </c>
      <c r="D599" s="14">
        <v>937964.89</v>
      </c>
      <c r="E599" s="14">
        <v>937964.89</v>
      </c>
      <c r="F599" s="34">
        <f t="shared" si="36"/>
        <v>0.9999998827248352</v>
      </c>
      <c r="G599" s="34">
        <f t="shared" si="35"/>
        <v>0.15711304690117253</v>
      </c>
    </row>
    <row r="600" spans="1:7" x14ac:dyDescent="0.25">
      <c r="A600" s="15" t="s">
        <v>108</v>
      </c>
      <c r="B600" s="16">
        <v>5970000</v>
      </c>
      <c r="C600" s="16">
        <v>937965</v>
      </c>
      <c r="D600" s="16">
        <v>937964.89</v>
      </c>
      <c r="E600" s="16">
        <v>937964.89</v>
      </c>
      <c r="F600" s="12">
        <f t="shared" si="36"/>
        <v>0.9999998827248352</v>
      </c>
      <c r="G600" s="12">
        <f t="shared" si="35"/>
        <v>0.15711304690117253</v>
      </c>
    </row>
    <row r="601" spans="1:7" x14ac:dyDescent="0.25">
      <c r="A601" s="10" t="s">
        <v>173</v>
      </c>
      <c r="B601" s="11">
        <f>B602+B605</f>
        <v>14300000</v>
      </c>
      <c r="C601" s="11">
        <f t="shared" ref="C601:E601" si="37">C602+C605</f>
        <v>10300000</v>
      </c>
      <c r="D601" s="11">
        <f t="shared" si="37"/>
        <v>171004</v>
      </c>
      <c r="E601" s="11">
        <f t="shared" si="37"/>
        <v>171004</v>
      </c>
      <c r="F601" s="12">
        <f t="shared" si="36"/>
        <v>1.6602330097087378E-2</v>
      </c>
      <c r="G601" s="12">
        <f t="shared" si="35"/>
        <v>1.1958321678321678E-2</v>
      </c>
    </row>
    <row r="602" spans="1:7" ht="24" x14ac:dyDescent="0.25">
      <c r="A602" s="13" t="s">
        <v>139</v>
      </c>
      <c r="B602" s="14">
        <f>B603+B604</f>
        <v>9300000</v>
      </c>
      <c r="C602" s="14">
        <f>C603+C604</f>
        <v>5300000</v>
      </c>
      <c r="D602" s="14">
        <v>163604</v>
      </c>
      <c r="E602" s="14">
        <v>163604</v>
      </c>
      <c r="F602" s="34">
        <f t="shared" si="36"/>
        <v>3.0868679245283019E-2</v>
      </c>
      <c r="G602" s="34">
        <f t="shared" si="35"/>
        <v>1.7591827956989246E-2</v>
      </c>
    </row>
    <row r="603" spans="1:7" ht="24" x14ac:dyDescent="0.25">
      <c r="A603" s="15" t="s">
        <v>107</v>
      </c>
      <c r="B603" s="16">
        <v>2300000</v>
      </c>
      <c r="C603" s="16">
        <v>2300000</v>
      </c>
      <c r="D603" s="16">
        <v>156204</v>
      </c>
      <c r="E603" s="16">
        <v>156204</v>
      </c>
      <c r="F603" s="12">
        <f t="shared" si="36"/>
        <v>6.7914782608695656E-2</v>
      </c>
      <c r="G603" s="12">
        <f t="shared" si="35"/>
        <v>6.7914782608695656E-2</v>
      </c>
    </row>
    <row r="604" spans="1:7" x14ac:dyDescent="0.25">
      <c r="A604" s="15" t="s">
        <v>108</v>
      </c>
      <c r="B604" s="16">
        <v>7000000</v>
      </c>
      <c r="C604" s="18">
        <v>3000000</v>
      </c>
      <c r="D604" s="16">
        <v>7400</v>
      </c>
      <c r="E604" s="16">
        <v>7400</v>
      </c>
      <c r="F604" s="12">
        <f t="shared" si="36"/>
        <v>2.4666666666666665E-3</v>
      </c>
      <c r="G604" s="12">
        <f t="shared" si="35"/>
        <v>1.0571428571428572E-3</v>
      </c>
    </row>
    <row r="605" spans="1:7" ht="24" x14ac:dyDescent="0.25">
      <c r="A605" s="13" t="s">
        <v>174</v>
      </c>
      <c r="B605" s="14">
        <v>5000000</v>
      </c>
      <c r="C605" s="14">
        <v>5000000</v>
      </c>
      <c r="D605" s="14">
        <v>7400</v>
      </c>
      <c r="E605" s="14">
        <v>7400</v>
      </c>
      <c r="F605" s="34">
        <f t="shared" si="36"/>
        <v>1.48E-3</v>
      </c>
      <c r="G605" s="34">
        <f t="shared" si="35"/>
        <v>1.48E-3</v>
      </c>
    </row>
    <row r="606" spans="1:7" x14ac:dyDescent="0.25">
      <c r="A606" s="15" t="s">
        <v>108</v>
      </c>
      <c r="B606" s="16">
        <v>5000000</v>
      </c>
      <c r="C606" s="16">
        <v>5000000</v>
      </c>
      <c r="D606" s="16">
        <v>7400</v>
      </c>
      <c r="E606" s="16">
        <v>7400</v>
      </c>
      <c r="F606" s="12">
        <f t="shared" si="36"/>
        <v>1.48E-3</v>
      </c>
      <c r="G606" s="12">
        <f t="shared" si="35"/>
        <v>1.48E-3</v>
      </c>
    </row>
    <row r="607" spans="1:7" ht="60" x14ac:dyDescent="0.25">
      <c r="A607" s="10" t="s">
        <v>209</v>
      </c>
      <c r="B607" s="11">
        <v>5010800</v>
      </c>
      <c r="C607" s="11">
        <v>5010800</v>
      </c>
      <c r="D607" s="11">
        <v>5010800</v>
      </c>
      <c r="E607" s="21"/>
      <c r="F607" s="12">
        <f t="shared" si="36"/>
        <v>1</v>
      </c>
      <c r="G607" s="12">
        <f t="shared" si="35"/>
        <v>1</v>
      </c>
    </row>
    <row r="608" spans="1:7" x14ac:dyDescent="0.25">
      <c r="A608" s="13" t="s">
        <v>150</v>
      </c>
      <c r="B608" s="14">
        <v>189800</v>
      </c>
      <c r="C608" s="14">
        <v>189800</v>
      </c>
      <c r="D608" s="14">
        <v>189800</v>
      </c>
      <c r="E608" s="37"/>
      <c r="F608" s="34">
        <f t="shared" si="36"/>
        <v>1</v>
      </c>
      <c r="G608" s="34">
        <f t="shared" si="35"/>
        <v>1</v>
      </c>
    </row>
    <row r="609" spans="1:7" ht="24" x14ac:dyDescent="0.25">
      <c r="A609" s="15" t="s">
        <v>107</v>
      </c>
      <c r="B609" s="16">
        <v>189800</v>
      </c>
      <c r="C609" s="16">
        <v>189800</v>
      </c>
      <c r="D609" s="16">
        <v>189800</v>
      </c>
      <c r="E609" s="18"/>
      <c r="F609" s="12">
        <f t="shared" si="36"/>
        <v>1</v>
      </c>
      <c r="G609" s="12">
        <f t="shared" si="35"/>
        <v>1</v>
      </c>
    </row>
    <row r="610" spans="1:7" ht="24" x14ac:dyDescent="0.25">
      <c r="A610" s="13" t="s">
        <v>151</v>
      </c>
      <c r="B610" s="14">
        <v>135000</v>
      </c>
      <c r="C610" s="14">
        <v>135000</v>
      </c>
      <c r="D610" s="14">
        <v>135000</v>
      </c>
      <c r="E610" s="37"/>
      <c r="F610" s="34">
        <f t="shared" si="36"/>
        <v>1</v>
      </c>
      <c r="G610" s="34">
        <f t="shared" si="35"/>
        <v>1</v>
      </c>
    </row>
    <row r="611" spans="1:7" ht="24" x14ac:dyDescent="0.25">
      <c r="A611" s="15" t="s">
        <v>107</v>
      </c>
      <c r="B611" s="16">
        <v>135000</v>
      </c>
      <c r="C611" s="16">
        <v>135000</v>
      </c>
      <c r="D611" s="16">
        <v>135000</v>
      </c>
      <c r="E611" s="18"/>
      <c r="F611" s="12">
        <f t="shared" si="36"/>
        <v>1</v>
      </c>
      <c r="G611" s="12">
        <f t="shared" si="35"/>
        <v>1</v>
      </c>
    </row>
    <row r="612" spans="1:7" ht="24" x14ac:dyDescent="0.25">
      <c r="A612" s="13" t="s">
        <v>153</v>
      </c>
      <c r="B612" s="14">
        <v>151840</v>
      </c>
      <c r="C612" s="14">
        <v>151840</v>
      </c>
      <c r="D612" s="14">
        <v>151840</v>
      </c>
      <c r="E612" s="37"/>
      <c r="F612" s="34">
        <f t="shared" si="36"/>
        <v>1</v>
      </c>
      <c r="G612" s="34">
        <f t="shared" si="35"/>
        <v>1</v>
      </c>
    </row>
    <row r="613" spans="1:7" ht="24" x14ac:dyDescent="0.25">
      <c r="A613" s="15" t="s">
        <v>107</v>
      </c>
      <c r="B613" s="16">
        <v>151840</v>
      </c>
      <c r="C613" s="16">
        <v>151840</v>
      </c>
      <c r="D613" s="16">
        <v>151840</v>
      </c>
      <c r="E613" s="18"/>
      <c r="F613" s="12">
        <f t="shared" si="36"/>
        <v>1</v>
      </c>
      <c r="G613" s="12">
        <f t="shared" si="35"/>
        <v>1</v>
      </c>
    </row>
    <row r="614" spans="1:7" x14ac:dyDescent="0.25">
      <c r="A614" s="13" t="s">
        <v>154</v>
      </c>
      <c r="B614" s="14">
        <v>180000</v>
      </c>
      <c r="C614" s="14">
        <v>180000</v>
      </c>
      <c r="D614" s="14">
        <v>180000</v>
      </c>
      <c r="E614" s="37"/>
      <c r="F614" s="34">
        <f t="shared" si="36"/>
        <v>1</v>
      </c>
      <c r="G614" s="34">
        <f t="shared" si="35"/>
        <v>1</v>
      </c>
    </row>
    <row r="615" spans="1:7" ht="24" x14ac:dyDescent="0.25">
      <c r="A615" s="15" t="s">
        <v>107</v>
      </c>
      <c r="B615" s="16">
        <v>180000</v>
      </c>
      <c r="C615" s="16">
        <v>180000</v>
      </c>
      <c r="D615" s="16">
        <v>180000</v>
      </c>
      <c r="E615" s="18"/>
      <c r="F615" s="12">
        <f t="shared" si="36"/>
        <v>1</v>
      </c>
      <c r="G615" s="12">
        <f t="shared" si="35"/>
        <v>1</v>
      </c>
    </row>
    <row r="616" spans="1:7" ht="24" x14ac:dyDescent="0.25">
      <c r="A616" s="13" t="s">
        <v>146</v>
      </c>
      <c r="B616" s="14">
        <v>4354160</v>
      </c>
      <c r="C616" s="14">
        <v>4354160</v>
      </c>
      <c r="D616" s="14">
        <v>4354160</v>
      </c>
      <c r="E616" s="37"/>
      <c r="F616" s="34">
        <f t="shared" si="36"/>
        <v>1</v>
      </c>
      <c r="G616" s="34">
        <f t="shared" si="35"/>
        <v>1</v>
      </c>
    </row>
    <row r="617" spans="1:7" ht="24" x14ac:dyDescent="0.25">
      <c r="A617" s="15" t="s">
        <v>107</v>
      </c>
      <c r="B617" s="16">
        <v>4354160</v>
      </c>
      <c r="C617" s="16">
        <v>4354160</v>
      </c>
      <c r="D617" s="16">
        <v>4354160</v>
      </c>
      <c r="E617" s="18"/>
      <c r="F617" s="12">
        <f t="shared" si="36"/>
        <v>1</v>
      </c>
      <c r="G617" s="12">
        <f t="shared" si="35"/>
        <v>1</v>
      </c>
    </row>
    <row r="618" spans="1:7" ht="60" x14ac:dyDescent="0.25">
      <c r="A618" s="10" t="s">
        <v>210</v>
      </c>
      <c r="B618" s="11">
        <v>11691900</v>
      </c>
      <c r="C618" s="11">
        <v>6606214</v>
      </c>
      <c r="D618" s="11">
        <v>6606214</v>
      </c>
      <c r="E618" s="21"/>
      <c r="F618" s="12">
        <f t="shared" si="36"/>
        <v>1</v>
      </c>
      <c r="G618" s="12">
        <f t="shared" si="35"/>
        <v>0.56502484626108673</v>
      </c>
    </row>
    <row r="619" spans="1:7" x14ac:dyDescent="0.25">
      <c r="A619" s="13" t="s">
        <v>150</v>
      </c>
      <c r="B619" s="14">
        <v>442875</v>
      </c>
      <c r="C619" s="14">
        <v>442875</v>
      </c>
      <c r="D619" s="14">
        <v>442875</v>
      </c>
      <c r="E619" s="37"/>
      <c r="F619" s="34">
        <f t="shared" si="36"/>
        <v>1</v>
      </c>
      <c r="G619" s="34">
        <f t="shared" si="35"/>
        <v>1</v>
      </c>
    </row>
    <row r="620" spans="1:7" ht="24" x14ac:dyDescent="0.25">
      <c r="A620" s="15" t="s">
        <v>107</v>
      </c>
      <c r="B620" s="16">
        <v>442875</v>
      </c>
      <c r="C620" s="16">
        <v>442875</v>
      </c>
      <c r="D620" s="16">
        <v>442875</v>
      </c>
      <c r="E620" s="18"/>
      <c r="F620" s="12">
        <f t="shared" si="36"/>
        <v>1</v>
      </c>
      <c r="G620" s="12">
        <f t="shared" si="35"/>
        <v>1</v>
      </c>
    </row>
    <row r="621" spans="1:7" ht="24" x14ac:dyDescent="0.25">
      <c r="A621" s="13" t="s">
        <v>151</v>
      </c>
      <c r="B621" s="14">
        <v>315000</v>
      </c>
      <c r="C621" s="14">
        <v>315000</v>
      </c>
      <c r="D621" s="14">
        <v>315000</v>
      </c>
      <c r="E621" s="37"/>
      <c r="F621" s="34">
        <f t="shared" si="36"/>
        <v>1</v>
      </c>
      <c r="G621" s="34">
        <f t="shared" si="35"/>
        <v>1</v>
      </c>
    </row>
    <row r="622" spans="1:7" ht="24" x14ac:dyDescent="0.25">
      <c r="A622" s="15" t="s">
        <v>107</v>
      </c>
      <c r="B622" s="16">
        <v>315000</v>
      </c>
      <c r="C622" s="16">
        <v>315000</v>
      </c>
      <c r="D622" s="16">
        <v>315000</v>
      </c>
      <c r="E622" s="18"/>
      <c r="F622" s="12">
        <f t="shared" si="36"/>
        <v>1</v>
      </c>
      <c r="G622" s="12">
        <f t="shared" si="35"/>
        <v>1</v>
      </c>
    </row>
    <row r="623" spans="1:7" ht="24" x14ac:dyDescent="0.25">
      <c r="A623" s="13" t="s">
        <v>153</v>
      </c>
      <c r="B623" s="14">
        <v>354300</v>
      </c>
      <c r="C623" s="14">
        <v>354300</v>
      </c>
      <c r="D623" s="14">
        <v>354300</v>
      </c>
      <c r="E623" s="37"/>
      <c r="F623" s="34">
        <f t="shared" si="36"/>
        <v>1</v>
      </c>
      <c r="G623" s="34">
        <f t="shared" si="35"/>
        <v>1</v>
      </c>
    </row>
    <row r="624" spans="1:7" ht="24" x14ac:dyDescent="0.25">
      <c r="A624" s="15" t="s">
        <v>107</v>
      </c>
      <c r="B624" s="16">
        <v>354300</v>
      </c>
      <c r="C624" s="16">
        <v>354300</v>
      </c>
      <c r="D624" s="16">
        <v>354300</v>
      </c>
      <c r="E624" s="18"/>
      <c r="F624" s="12">
        <f t="shared" si="36"/>
        <v>1</v>
      </c>
      <c r="G624" s="12">
        <f t="shared" si="35"/>
        <v>1</v>
      </c>
    </row>
    <row r="625" spans="1:7" x14ac:dyDescent="0.25">
      <c r="A625" s="13" t="s">
        <v>154</v>
      </c>
      <c r="B625" s="14">
        <v>420000</v>
      </c>
      <c r="C625" s="14">
        <v>420000</v>
      </c>
      <c r="D625" s="14">
        <v>420000</v>
      </c>
      <c r="E625" s="37"/>
      <c r="F625" s="34">
        <f t="shared" si="36"/>
        <v>1</v>
      </c>
      <c r="G625" s="34">
        <f t="shared" si="35"/>
        <v>1</v>
      </c>
    </row>
    <row r="626" spans="1:7" ht="24" x14ac:dyDescent="0.25">
      <c r="A626" s="15" t="s">
        <v>107</v>
      </c>
      <c r="B626" s="16">
        <v>420000</v>
      </c>
      <c r="C626" s="16">
        <v>420000</v>
      </c>
      <c r="D626" s="16">
        <v>420000</v>
      </c>
      <c r="E626" s="18"/>
      <c r="F626" s="12">
        <f t="shared" si="36"/>
        <v>1</v>
      </c>
      <c r="G626" s="12">
        <f t="shared" si="35"/>
        <v>1</v>
      </c>
    </row>
    <row r="627" spans="1:7" ht="24" x14ac:dyDescent="0.25">
      <c r="A627" s="13" t="s">
        <v>146</v>
      </c>
      <c r="B627" s="14">
        <v>10159725</v>
      </c>
      <c r="C627" s="14">
        <v>5074039</v>
      </c>
      <c r="D627" s="14">
        <v>5074039</v>
      </c>
      <c r="E627" s="37"/>
      <c r="F627" s="34">
        <f t="shared" si="36"/>
        <v>1</v>
      </c>
      <c r="G627" s="34">
        <f t="shared" si="35"/>
        <v>0.49942680535152278</v>
      </c>
    </row>
    <row r="628" spans="1:7" ht="24" x14ac:dyDescent="0.25">
      <c r="A628" s="15" t="s">
        <v>107</v>
      </c>
      <c r="B628" s="16">
        <v>10159725</v>
      </c>
      <c r="C628" s="16">
        <v>5074039</v>
      </c>
      <c r="D628" s="16">
        <v>5074039</v>
      </c>
      <c r="E628" s="18"/>
      <c r="F628" s="12">
        <f t="shared" si="36"/>
        <v>1</v>
      </c>
      <c r="G628" s="12">
        <f t="shared" si="35"/>
        <v>0.49942680535152278</v>
      </c>
    </row>
    <row r="629" spans="1:7" ht="72" x14ac:dyDescent="0.25">
      <c r="A629" s="10" t="s">
        <v>182</v>
      </c>
      <c r="B629" s="11">
        <v>10447239</v>
      </c>
      <c r="C629" s="21"/>
      <c r="D629" s="21"/>
      <c r="E629" s="21"/>
      <c r="F629" s="12">
        <v>0</v>
      </c>
      <c r="G629" s="12">
        <f t="shared" si="35"/>
        <v>0</v>
      </c>
    </row>
    <row r="630" spans="1:7" ht="24" x14ac:dyDescent="0.25">
      <c r="A630" s="13" t="s">
        <v>146</v>
      </c>
      <c r="B630" s="14">
        <v>10447239</v>
      </c>
      <c r="C630" s="37"/>
      <c r="D630" s="37"/>
      <c r="E630" s="37"/>
      <c r="F630" s="34">
        <v>0</v>
      </c>
      <c r="G630" s="34">
        <f t="shared" si="35"/>
        <v>0</v>
      </c>
    </row>
    <row r="631" spans="1:7" ht="24" x14ac:dyDescent="0.25">
      <c r="A631" s="15" t="s">
        <v>107</v>
      </c>
      <c r="B631" s="16">
        <v>10447239</v>
      </c>
      <c r="C631" s="18"/>
      <c r="D631" s="18"/>
      <c r="E631" s="18"/>
      <c r="F631" s="12">
        <v>0</v>
      </c>
      <c r="G631" s="12">
        <f t="shared" si="35"/>
        <v>0</v>
      </c>
    </row>
    <row r="632" spans="1:7" ht="60" x14ac:dyDescent="0.25">
      <c r="A632" s="10" t="s">
        <v>211</v>
      </c>
      <c r="B632" s="11">
        <v>26658411</v>
      </c>
      <c r="C632" s="21"/>
      <c r="D632" s="21"/>
      <c r="E632" s="21"/>
      <c r="F632" s="12">
        <v>0</v>
      </c>
      <c r="G632" s="12">
        <f t="shared" si="35"/>
        <v>0</v>
      </c>
    </row>
    <row r="633" spans="1:7" ht="24" x14ac:dyDescent="0.25">
      <c r="A633" s="13" t="s">
        <v>146</v>
      </c>
      <c r="B633" s="14">
        <v>26658411</v>
      </c>
      <c r="C633" s="37"/>
      <c r="D633" s="37"/>
      <c r="E633" s="37"/>
      <c r="F633" s="34">
        <v>0</v>
      </c>
      <c r="G633" s="34">
        <f t="shared" si="35"/>
        <v>0</v>
      </c>
    </row>
    <row r="634" spans="1:7" x14ac:dyDescent="0.25">
      <c r="A634" s="15" t="s">
        <v>16</v>
      </c>
      <c r="B634" s="16">
        <v>2281520</v>
      </c>
      <c r="C634" s="18"/>
      <c r="D634" s="18"/>
      <c r="E634" s="18"/>
      <c r="F634" s="12">
        <v>0</v>
      </c>
      <c r="G634" s="12">
        <f t="shared" si="35"/>
        <v>0</v>
      </c>
    </row>
    <row r="635" spans="1:7" ht="24" x14ac:dyDescent="0.25">
      <c r="A635" s="15" t="s">
        <v>107</v>
      </c>
      <c r="B635" s="16">
        <v>24376891</v>
      </c>
      <c r="C635" s="18"/>
      <c r="D635" s="18"/>
      <c r="E635" s="18"/>
      <c r="F635" s="12">
        <v>0</v>
      </c>
      <c r="G635" s="12">
        <f t="shared" si="35"/>
        <v>0</v>
      </c>
    </row>
    <row r="636" spans="1:7" x14ac:dyDescent="0.25">
      <c r="A636" s="10" t="s">
        <v>212</v>
      </c>
      <c r="B636" s="11">
        <v>632145964</v>
      </c>
      <c r="C636" s="11">
        <v>314000000</v>
      </c>
      <c r="D636" s="11">
        <v>92894760.030000001</v>
      </c>
      <c r="E636" s="11">
        <v>92894760.030000001</v>
      </c>
      <c r="F636" s="12">
        <f t="shared" si="36"/>
        <v>0.29584318480891719</v>
      </c>
      <c r="G636" s="12">
        <f t="shared" si="35"/>
        <v>0.14695144052205006</v>
      </c>
    </row>
    <row r="637" spans="1:7" ht="24" x14ac:dyDescent="0.25">
      <c r="A637" s="13" t="s">
        <v>146</v>
      </c>
      <c r="B637" s="14">
        <v>632145964</v>
      </c>
      <c r="C637" s="14">
        <v>314000000</v>
      </c>
      <c r="D637" s="14">
        <v>92894760.030000001</v>
      </c>
      <c r="E637" s="14">
        <v>92894760.030000001</v>
      </c>
      <c r="F637" s="34">
        <f t="shared" si="36"/>
        <v>0.29584318480891719</v>
      </c>
      <c r="G637" s="34">
        <f t="shared" si="35"/>
        <v>0.14695144052205006</v>
      </c>
    </row>
    <row r="638" spans="1:7" x14ac:dyDescent="0.25">
      <c r="A638" s="15" t="s">
        <v>112</v>
      </c>
      <c r="B638" s="16">
        <v>632145964</v>
      </c>
      <c r="C638" s="16">
        <v>314000000</v>
      </c>
      <c r="D638" s="16">
        <v>92894760.030000001</v>
      </c>
      <c r="E638" s="16">
        <v>92894760.030000001</v>
      </c>
      <c r="F638" s="12">
        <f t="shared" si="36"/>
        <v>0.29584318480891719</v>
      </c>
      <c r="G638" s="12">
        <f t="shared" si="35"/>
        <v>0.14695144052205006</v>
      </c>
    </row>
    <row r="639" spans="1:7" ht="36" x14ac:dyDescent="0.25">
      <c r="A639" s="10" t="s">
        <v>213</v>
      </c>
      <c r="B639" s="11">
        <v>1800000</v>
      </c>
      <c r="C639" s="21"/>
      <c r="D639" s="21"/>
      <c r="E639" s="21"/>
      <c r="F639" s="12">
        <v>0</v>
      </c>
      <c r="G639" s="12">
        <f t="shared" si="35"/>
        <v>0</v>
      </c>
    </row>
    <row r="640" spans="1:7" ht="24" x14ac:dyDescent="0.25">
      <c r="A640" s="13" t="s">
        <v>146</v>
      </c>
      <c r="B640" s="14">
        <v>1800000</v>
      </c>
      <c r="C640" s="37"/>
      <c r="D640" s="37"/>
      <c r="E640" s="37"/>
      <c r="F640" s="34">
        <v>0</v>
      </c>
      <c r="G640" s="34">
        <f t="shared" si="35"/>
        <v>0</v>
      </c>
    </row>
    <row r="641" spans="1:7" x14ac:dyDescent="0.25">
      <c r="A641" s="15" t="s">
        <v>108</v>
      </c>
      <c r="B641" s="16">
        <v>1800000</v>
      </c>
      <c r="C641" s="18"/>
      <c r="D641" s="18"/>
      <c r="E641" s="18"/>
      <c r="F641" s="12">
        <v>0</v>
      </c>
      <c r="G641" s="12">
        <f t="shared" si="35"/>
        <v>0</v>
      </c>
    </row>
    <row r="642" spans="1:7" ht="36" x14ac:dyDescent="0.25">
      <c r="A642" s="10" t="s">
        <v>214</v>
      </c>
      <c r="B642" s="11">
        <v>35069357</v>
      </c>
      <c r="C642" s="11">
        <v>35069357</v>
      </c>
      <c r="D642" s="11">
        <v>35069357</v>
      </c>
      <c r="E642" s="11">
        <v>34837129.990000002</v>
      </c>
      <c r="F642" s="12">
        <f t="shared" si="36"/>
        <v>1</v>
      </c>
      <c r="G642" s="12">
        <f t="shared" si="35"/>
        <v>1</v>
      </c>
    </row>
    <row r="643" spans="1:7" x14ac:dyDescent="0.25">
      <c r="A643" s="13" t="s">
        <v>150</v>
      </c>
      <c r="B643" s="14">
        <v>1746400</v>
      </c>
      <c r="C643" s="14">
        <v>1746400</v>
      </c>
      <c r="D643" s="14">
        <v>1746400</v>
      </c>
      <c r="E643" s="14">
        <v>1746400</v>
      </c>
      <c r="F643" s="34">
        <f t="shared" si="36"/>
        <v>1</v>
      </c>
      <c r="G643" s="34">
        <f t="shared" si="35"/>
        <v>1</v>
      </c>
    </row>
    <row r="644" spans="1:7" x14ac:dyDescent="0.25">
      <c r="A644" s="15" t="s">
        <v>42</v>
      </c>
      <c r="B644" s="16">
        <v>1746400</v>
      </c>
      <c r="C644" s="16">
        <v>1746400</v>
      </c>
      <c r="D644" s="16">
        <v>1746400</v>
      </c>
      <c r="E644" s="16">
        <v>1746400</v>
      </c>
      <c r="F644" s="12">
        <f t="shared" si="36"/>
        <v>1</v>
      </c>
      <c r="G644" s="12">
        <f t="shared" si="35"/>
        <v>1</v>
      </c>
    </row>
    <row r="645" spans="1:7" ht="24" x14ac:dyDescent="0.25">
      <c r="A645" s="13" t="s">
        <v>151</v>
      </c>
      <c r="B645" s="14">
        <v>692500</v>
      </c>
      <c r="C645" s="14">
        <v>692500</v>
      </c>
      <c r="D645" s="14">
        <v>692500</v>
      </c>
      <c r="E645" s="14">
        <v>692500</v>
      </c>
      <c r="F645" s="34">
        <f t="shared" si="36"/>
        <v>1</v>
      </c>
      <c r="G645" s="34">
        <f t="shared" si="35"/>
        <v>1</v>
      </c>
    </row>
    <row r="646" spans="1:7" x14ac:dyDescent="0.25">
      <c r="A646" s="15" t="s">
        <v>42</v>
      </c>
      <c r="B646" s="16">
        <v>692500</v>
      </c>
      <c r="C646" s="16">
        <v>692500</v>
      </c>
      <c r="D646" s="16">
        <v>692500</v>
      </c>
      <c r="E646" s="16">
        <v>692500</v>
      </c>
      <c r="F646" s="12">
        <f t="shared" si="36"/>
        <v>1</v>
      </c>
      <c r="G646" s="12">
        <f t="shared" si="35"/>
        <v>1</v>
      </c>
    </row>
    <row r="647" spans="1:7" ht="24" x14ac:dyDescent="0.25">
      <c r="A647" s="13" t="s">
        <v>153</v>
      </c>
      <c r="B647" s="14">
        <v>1320450</v>
      </c>
      <c r="C647" s="14">
        <v>1320450</v>
      </c>
      <c r="D647" s="14">
        <v>1320450</v>
      </c>
      <c r="E647" s="14">
        <v>1320450</v>
      </c>
      <c r="F647" s="34">
        <f t="shared" si="36"/>
        <v>1</v>
      </c>
      <c r="G647" s="34">
        <f t="shared" si="35"/>
        <v>1</v>
      </c>
    </row>
    <row r="648" spans="1:7" x14ac:dyDescent="0.25">
      <c r="A648" s="15" t="s">
        <v>42</v>
      </c>
      <c r="B648" s="16">
        <v>1320450</v>
      </c>
      <c r="C648" s="16">
        <v>1320450</v>
      </c>
      <c r="D648" s="16">
        <v>1320450</v>
      </c>
      <c r="E648" s="16">
        <v>1320450</v>
      </c>
      <c r="F648" s="12">
        <f t="shared" si="36"/>
        <v>1</v>
      </c>
      <c r="G648" s="12">
        <f t="shared" si="35"/>
        <v>1</v>
      </c>
    </row>
    <row r="649" spans="1:7" x14ac:dyDescent="0.25">
      <c r="A649" s="13" t="s">
        <v>154</v>
      </c>
      <c r="B649" s="14">
        <v>689266</v>
      </c>
      <c r="C649" s="14">
        <v>689266</v>
      </c>
      <c r="D649" s="14">
        <v>689266</v>
      </c>
      <c r="E649" s="14">
        <v>689150</v>
      </c>
      <c r="F649" s="34">
        <f t="shared" si="36"/>
        <v>1</v>
      </c>
      <c r="G649" s="34">
        <f t="shared" si="35"/>
        <v>1</v>
      </c>
    </row>
    <row r="650" spans="1:7" x14ac:dyDescent="0.25">
      <c r="A650" s="15" t="s">
        <v>42</v>
      </c>
      <c r="B650" s="16">
        <v>689266</v>
      </c>
      <c r="C650" s="16">
        <v>689266</v>
      </c>
      <c r="D650" s="16">
        <v>689266</v>
      </c>
      <c r="E650" s="16">
        <v>689150</v>
      </c>
      <c r="F650" s="12">
        <f t="shared" si="36"/>
        <v>1</v>
      </c>
      <c r="G650" s="12">
        <f t="shared" si="35"/>
        <v>1</v>
      </c>
    </row>
    <row r="651" spans="1:7" ht="24" x14ac:dyDescent="0.25">
      <c r="A651" s="13" t="s">
        <v>157</v>
      </c>
      <c r="B651" s="14">
        <v>571356.13</v>
      </c>
      <c r="C651" s="14">
        <v>571356.13</v>
      </c>
      <c r="D651" s="14">
        <v>571356.13</v>
      </c>
      <c r="E651" s="14">
        <v>571356.13</v>
      </c>
      <c r="F651" s="34">
        <f t="shared" si="36"/>
        <v>1</v>
      </c>
      <c r="G651" s="34">
        <f t="shared" si="35"/>
        <v>1</v>
      </c>
    </row>
    <row r="652" spans="1:7" x14ac:dyDescent="0.25">
      <c r="A652" s="15" t="s">
        <v>42</v>
      </c>
      <c r="B652" s="16">
        <v>571356.13</v>
      </c>
      <c r="C652" s="16">
        <v>571356.13</v>
      </c>
      <c r="D652" s="16">
        <v>571356.13</v>
      </c>
      <c r="E652" s="16">
        <v>571356.13</v>
      </c>
      <c r="F652" s="12">
        <f t="shared" si="36"/>
        <v>1</v>
      </c>
      <c r="G652" s="12">
        <f t="shared" si="35"/>
        <v>1</v>
      </c>
    </row>
    <row r="653" spans="1:7" ht="24" x14ac:dyDescent="0.25">
      <c r="A653" s="13" t="s">
        <v>146</v>
      </c>
      <c r="B653" s="14">
        <v>30049384.870000001</v>
      </c>
      <c r="C653" s="14">
        <v>30049384.870000001</v>
      </c>
      <c r="D653" s="14">
        <v>30049384.870000001</v>
      </c>
      <c r="E653" s="14">
        <v>29817273.859999999</v>
      </c>
      <c r="F653" s="34">
        <f t="shared" si="36"/>
        <v>1</v>
      </c>
      <c r="G653" s="34">
        <f t="shared" ref="G653:G718" si="38">D653/B653</f>
        <v>1</v>
      </c>
    </row>
    <row r="654" spans="1:7" x14ac:dyDescent="0.25">
      <c r="A654" s="15" t="s">
        <v>42</v>
      </c>
      <c r="B654" s="16">
        <v>30049384.870000001</v>
      </c>
      <c r="C654" s="16">
        <v>30049384.870000001</v>
      </c>
      <c r="D654" s="16">
        <v>30049384.870000001</v>
      </c>
      <c r="E654" s="16">
        <v>29817273.859999999</v>
      </c>
      <c r="F654" s="12">
        <f t="shared" si="36"/>
        <v>1</v>
      </c>
      <c r="G654" s="12">
        <f t="shared" si="38"/>
        <v>1</v>
      </c>
    </row>
    <row r="655" spans="1:7" x14ac:dyDescent="0.25">
      <c r="A655" s="35" t="s">
        <v>74</v>
      </c>
      <c r="B655" s="36">
        <f>B656+B660</f>
        <v>37961028</v>
      </c>
      <c r="C655" s="36">
        <f t="shared" ref="C655:E655" si="39">C656+C660</f>
        <v>15796499</v>
      </c>
      <c r="D655" s="36">
        <f t="shared" si="39"/>
        <v>210500</v>
      </c>
      <c r="E655" s="36">
        <f t="shared" si="39"/>
        <v>210500</v>
      </c>
      <c r="F655" s="9">
        <f t="shared" si="36"/>
        <v>1.3325737557416995E-2</v>
      </c>
      <c r="G655" s="9">
        <f t="shared" si="38"/>
        <v>5.545160684268087E-3</v>
      </c>
    </row>
    <row r="656" spans="1:7" ht="24" x14ac:dyDescent="0.25">
      <c r="A656" s="10" t="s">
        <v>184</v>
      </c>
      <c r="B656" s="11">
        <v>7846000</v>
      </c>
      <c r="C656" s="11">
        <v>7596000</v>
      </c>
      <c r="D656" s="11">
        <v>210500</v>
      </c>
      <c r="E656" s="11">
        <v>210500</v>
      </c>
      <c r="F656" s="12">
        <f t="shared" si="36"/>
        <v>2.7711953659820959E-2</v>
      </c>
      <c r="G656" s="12">
        <f t="shared" si="38"/>
        <v>2.6828957430537852E-2</v>
      </c>
    </row>
    <row r="657" spans="1:7" ht="24" x14ac:dyDescent="0.25">
      <c r="A657" s="13" t="s">
        <v>185</v>
      </c>
      <c r="B657" s="14">
        <v>7846000</v>
      </c>
      <c r="C657" s="14">
        <v>7596000</v>
      </c>
      <c r="D657" s="14">
        <v>210500</v>
      </c>
      <c r="E657" s="14">
        <v>210500</v>
      </c>
      <c r="F657" s="34">
        <f t="shared" si="36"/>
        <v>2.7711953659820959E-2</v>
      </c>
      <c r="G657" s="34">
        <f t="shared" si="38"/>
        <v>2.6828957430537852E-2</v>
      </c>
    </row>
    <row r="658" spans="1:7" ht="24" x14ac:dyDescent="0.25">
      <c r="A658" s="15" t="s">
        <v>107</v>
      </c>
      <c r="B658" s="16">
        <v>846000</v>
      </c>
      <c r="C658" s="16">
        <v>596000</v>
      </c>
      <c r="D658" s="16">
        <v>210500</v>
      </c>
      <c r="E658" s="16">
        <v>210500</v>
      </c>
      <c r="F658" s="12">
        <f t="shared" si="36"/>
        <v>0.35318791946308725</v>
      </c>
      <c r="G658" s="12">
        <f t="shared" si="38"/>
        <v>0.24881796690307328</v>
      </c>
    </row>
    <row r="659" spans="1:7" x14ac:dyDescent="0.25">
      <c r="A659" s="15" t="s">
        <v>108</v>
      </c>
      <c r="B659" s="16">
        <v>7000000</v>
      </c>
      <c r="C659" s="16">
        <v>7000000</v>
      </c>
      <c r="D659" s="18"/>
      <c r="E659" s="18"/>
      <c r="F659" s="12">
        <f t="shared" si="36"/>
        <v>0</v>
      </c>
      <c r="G659" s="12">
        <f t="shared" si="38"/>
        <v>0</v>
      </c>
    </row>
    <row r="660" spans="1:7" ht="216" x14ac:dyDescent="0.25">
      <c r="A660" s="10" t="s">
        <v>215</v>
      </c>
      <c r="B660" s="11">
        <v>30115028</v>
      </c>
      <c r="C660" s="11">
        <v>8200499</v>
      </c>
      <c r="D660" s="21"/>
      <c r="E660" s="21"/>
      <c r="F660" s="12">
        <f t="shared" si="36"/>
        <v>0</v>
      </c>
      <c r="G660" s="12">
        <f t="shared" si="38"/>
        <v>0</v>
      </c>
    </row>
    <row r="661" spans="1:7" ht="24" x14ac:dyDescent="0.25">
      <c r="A661" s="10" t="s">
        <v>143</v>
      </c>
      <c r="B661" s="11">
        <v>30115028</v>
      </c>
      <c r="C661" s="11">
        <v>8200499</v>
      </c>
      <c r="D661" s="21"/>
      <c r="E661" s="21"/>
      <c r="F661" s="12">
        <f t="shared" si="36"/>
        <v>0</v>
      </c>
      <c r="G661" s="12">
        <f t="shared" si="38"/>
        <v>0</v>
      </c>
    </row>
    <row r="662" spans="1:7" x14ac:dyDescent="0.25">
      <c r="A662" s="15" t="s">
        <v>216</v>
      </c>
      <c r="B662" s="16">
        <v>30115028</v>
      </c>
      <c r="C662" s="16">
        <v>8200499</v>
      </c>
      <c r="D662" s="18"/>
      <c r="E662" s="18"/>
      <c r="F662" s="12">
        <f t="shared" si="36"/>
        <v>0</v>
      </c>
      <c r="G662" s="12">
        <f t="shared" si="38"/>
        <v>0</v>
      </c>
    </row>
    <row r="663" spans="1:7" x14ac:dyDescent="0.25">
      <c r="A663" s="35" t="s">
        <v>86</v>
      </c>
      <c r="B663" s="36">
        <f>B664+B668+B672</f>
        <v>10465000</v>
      </c>
      <c r="C663" s="36">
        <f>C664+C668+C672</f>
        <v>7680000</v>
      </c>
      <c r="D663" s="36">
        <f t="shared" ref="D663:E663" si="40">D664+D668+D672</f>
        <v>1754859.35</v>
      </c>
      <c r="E663" s="36">
        <f t="shared" si="40"/>
        <v>1754859.35</v>
      </c>
      <c r="F663" s="9">
        <f t="shared" ref="F663:F728" si="41">D663/C663</f>
        <v>0.22849731119791669</v>
      </c>
      <c r="G663" s="9">
        <f t="shared" si="38"/>
        <v>0.16768842331581463</v>
      </c>
    </row>
    <row r="664" spans="1:7" x14ac:dyDescent="0.25">
      <c r="A664" s="10" t="s">
        <v>195</v>
      </c>
      <c r="B664" s="11">
        <v>5850000</v>
      </c>
      <c r="C664" s="11">
        <f>C665</f>
        <v>3665000</v>
      </c>
      <c r="D664" s="11">
        <v>309843</v>
      </c>
      <c r="E664" s="11">
        <v>309843</v>
      </c>
      <c r="F664" s="12">
        <f t="shared" si="41"/>
        <v>8.4541064120054576E-2</v>
      </c>
      <c r="G664" s="12">
        <f t="shared" si="38"/>
        <v>5.2964615384615388E-2</v>
      </c>
    </row>
    <row r="665" spans="1:7" ht="24" x14ac:dyDescent="0.25">
      <c r="A665" s="13" t="s">
        <v>139</v>
      </c>
      <c r="B665" s="14">
        <v>5850000</v>
      </c>
      <c r="C665" s="14">
        <f>C666+C667</f>
        <v>3665000</v>
      </c>
      <c r="D665" s="14">
        <v>309843</v>
      </c>
      <c r="E665" s="14">
        <v>309843</v>
      </c>
      <c r="F665" s="34">
        <f t="shared" si="41"/>
        <v>8.4541064120054576E-2</v>
      </c>
      <c r="G665" s="34">
        <f t="shared" si="38"/>
        <v>5.2964615384615388E-2</v>
      </c>
    </row>
    <row r="666" spans="1:7" ht="24" x14ac:dyDescent="0.25">
      <c r="A666" s="15" t="s">
        <v>107</v>
      </c>
      <c r="B666" s="16">
        <v>1665000</v>
      </c>
      <c r="C666" s="16">
        <v>1665000</v>
      </c>
      <c r="D666" s="16">
        <v>302443</v>
      </c>
      <c r="E666" s="16">
        <v>302443</v>
      </c>
      <c r="F666" s="12">
        <f t="shared" si="41"/>
        <v>0.18164744744744746</v>
      </c>
      <c r="G666" s="12">
        <f t="shared" si="38"/>
        <v>0.18164744744744746</v>
      </c>
    </row>
    <row r="667" spans="1:7" x14ac:dyDescent="0.25">
      <c r="A667" s="15" t="s">
        <v>108</v>
      </c>
      <c r="B667" s="16">
        <v>4185000</v>
      </c>
      <c r="C667" s="16">
        <v>2000000</v>
      </c>
      <c r="D667" s="16">
        <v>7400</v>
      </c>
      <c r="E667" s="16">
        <v>7400</v>
      </c>
      <c r="F667" s="12">
        <f t="shared" si="41"/>
        <v>3.7000000000000002E-3</v>
      </c>
      <c r="G667" s="12">
        <f t="shared" si="38"/>
        <v>1.7682198327359617E-3</v>
      </c>
    </row>
    <row r="668" spans="1:7" ht="24" x14ac:dyDescent="0.25">
      <c r="A668" s="10" t="s">
        <v>196</v>
      </c>
      <c r="B668" s="11">
        <v>4300000</v>
      </c>
      <c r="C668" s="11">
        <f>C669</f>
        <v>3700000</v>
      </c>
      <c r="D668" s="11">
        <v>1348992.35</v>
      </c>
      <c r="E668" s="11">
        <v>1348992.35</v>
      </c>
      <c r="F668" s="12">
        <f t="shared" si="41"/>
        <v>0.36459252702702705</v>
      </c>
      <c r="G668" s="12">
        <f t="shared" si="38"/>
        <v>0.3137191511627907</v>
      </c>
    </row>
    <row r="669" spans="1:7" ht="24" x14ac:dyDescent="0.25">
      <c r="A669" s="13" t="s">
        <v>139</v>
      </c>
      <c r="B669" s="14">
        <v>4300000</v>
      </c>
      <c r="C669" s="14">
        <f>C670+C671</f>
        <v>3700000</v>
      </c>
      <c r="D669" s="14">
        <v>1348992.35</v>
      </c>
      <c r="E669" s="14">
        <v>1348992.35</v>
      </c>
      <c r="F669" s="34">
        <f t="shared" si="41"/>
        <v>0.36459252702702705</v>
      </c>
      <c r="G669" s="34">
        <f t="shared" si="38"/>
        <v>0.3137191511627907</v>
      </c>
    </row>
    <row r="670" spans="1:7" ht="24" x14ac:dyDescent="0.25">
      <c r="A670" s="15" t="s">
        <v>107</v>
      </c>
      <c r="B670" s="16">
        <v>1665000</v>
      </c>
      <c r="C670" s="16">
        <v>1665000</v>
      </c>
      <c r="D670" s="18"/>
      <c r="E670" s="18"/>
      <c r="F670" s="12">
        <f t="shared" si="41"/>
        <v>0</v>
      </c>
      <c r="G670" s="12">
        <f t="shared" si="38"/>
        <v>0</v>
      </c>
    </row>
    <row r="671" spans="1:7" x14ac:dyDescent="0.25">
      <c r="A671" s="15" t="s">
        <v>108</v>
      </c>
      <c r="B671" s="16">
        <v>2300000</v>
      </c>
      <c r="C671" s="16">
        <v>2035000</v>
      </c>
      <c r="D671" s="16">
        <v>1348992.35</v>
      </c>
      <c r="E671" s="16">
        <v>1348992.35</v>
      </c>
      <c r="F671" s="12">
        <f t="shared" si="41"/>
        <v>0.66289550368550376</v>
      </c>
      <c r="G671" s="12">
        <f t="shared" si="38"/>
        <v>0.58651841304347829</v>
      </c>
    </row>
    <row r="672" spans="1:7" ht="24" x14ac:dyDescent="0.25">
      <c r="A672" s="10" t="s">
        <v>197</v>
      </c>
      <c r="B672" s="11">
        <v>315000</v>
      </c>
      <c r="C672" s="11">
        <f>C673</f>
        <v>315000</v>
      </c>
      <c r="D672" s="11">
        <v>96024</v>
      </c>
      <c r="E672" s="11">
        <v>96024</v>
      </c>
      <c r="F672" s="12">
        <f t="shared" si="41"/>
        <v>0.30483809523809524</v>
      </c>
      <c r="G672" s="12">
        <f t="shared" si="38"/>
        <v>0.30483809523809524</v>
      </c>
    </row>
    <row r="673" spans="1:7" ht="24" x14ac:dyDescent="0.25">
      <c r="A673" s="13" t="s">
        <v>139</v>
      </c>
      <c r="B673" s="14">
        <v>315000</v>
      </c>
      <c r="C673" s="14">
        <f>C674</f>
        <v>315000</v>
      </c>
      <c r="D673" s="14">
        <v>96024</v>
      </c>
      <c r="E673" s="14">
        <v>96024</v>
      </c>
      <c r="F673" s="34">
        <f t="shared" si="41"/>
        <v>0.30483809523809524</v>
      </c>
      <c r="G673" s="34">
        <f t="shared" si="38"/>
        <v>0.30483809523809524</v>
      </c>
    </row>
    <row r="674" spans="1:7" ht="24" x14ac:dyDescent="0.25">
      <c r="A674" s="15" t="s">
        <v>107</v>
      </c>
      <c r="B674" s="16">
        <v>315000</v>
      </c>
      <c r="C674" s="16">
        <v>315000</v>
      </c>
      <c r="D674" s="16">
        <v>96024</v>
      </c>
      <c r="E674" s="16">
        <v>96024</v>
      </c>
      <c r="F674" s="12">
        <f t="shared" si="41"/>
        <v>0.30483809523809524</v>
      </c>
      <c r="G674" s="12">
        <f t="shared" si="38"/>
        <v>0.30483809523809524</v>
      </c>
    </row>
    <row r="675" spans="1:7" x14ac:dyDescent="0.25">
      <c r="A675" s="35" t="s">
        <v>91</v>
      </c>
      <c r="B675" s="36">
        <f>B676</f>
        <v>6413700</v>
      </c>
      <c r="C675" s="36">
        <f t="shared" ref="C675:E675" si="42">C676</f>
        <v>3100000</v>
      </c>
      <c r="D675" s="36">
        <f t="shared" si="42"/>
        <v>280786.59999999998</v>
      </c>
      <c r="E675" s="36">
        <f t="shared" si="42"/>
        <v>280786.59999999998</v>
      </c>
      <c r="F675" s="9">
        <f t="shared" si="41"/>
        <v>9.0576322580645158E-2</v>
      </c>
      <c r="G675" s="9">
        <f t="shared" si="38"/>
        <v>4.3779191418370049E-2</v>
      </c>
    </row>
    <row r="676" spans="1:7" ht="36" x14ac:dyDescent="0.25">
      <c r="A676" s="10" t="s">
        <v>199</v>
      </c>
      <c r="B676" s="11">
        <f>B677+B680+B682</f>
        <v>6413700</v>
      </c>
      <c r="C676" s="11">
        <v>3100000</v>
      </c>
      <c r="D676" s="11">
        <v>280786.59999999998</v>
      </c>
      <c r="E676" s="11">
        <v>280786.59999999998</v>
      </c>
      <c r="F676" s="12">
        <f t="shared" si="41"/>
        <v>9.0576322580645158E-2</v>
      </c>
      <c r="G676" s="12">
        <f t="shared" si="38"/>
        <v>4.3779191418370049E-2</v>
      </c>
    </row>
    <row r="677" spans="1:7" x14ac:dyDescent="0.25">
      <c r="A677" s="13" t="s">
        <v>200</v>
      </c>
      <c r="B677" s="14">
        <v>1213700</v>
      </c>
      <c r="C677" s="14">
        <v>100000</v>
      </c>
      <c r="D677" s="14">
        <v>99998</v>
      </c>
      <c r="E677" s="14">
        <v>99998</v>
      </c>
      <c r="F677" s="34">
        <f t="shared" si="41"/>
        <v>0.99997999999999998</v>
      </c>
      <c r="G677" s="34">
        <f t="shared" si="38"/>
        <v>8.2391035676031968E-2</v>
      </c>
    </row>
    <row r="678" spans="1:7" ht="24" x14ac:dyDescent="0.25">
      <c r="A678" s="15" t="s">
        <v>107</v>
      </c>
      <c r="B678" s="16">
        <v>100000</v>
      </c>
      <c r="C678" s="16">
        <v>100000</v>
      </c>
      <c r="D678" s="16">
        <v>99998</v>
      </c>
      <c r="E678" s="16">
        <v>99998</v>
      </c>
      <c r="F678" s="12">
        <f t="shared" si="41"/>
        <v>0.99997999999999998</v>
      </c>
      <c r="G678" s="12">
        <f t="shared" si="38"/>
        <v>0.99997999999999998</v>
      </c>
    </row>
    <row r="679" spans="1:7" x14ac:dyDescent="0.25">
      <c r="A679" s="15" t="s">
        <v>108</v>
      </c>
      <c r="B679" s="16">
        <v>1113700</v>
      </c>
      <c r="C679" s="18"/>
      <c r="D679" s="18"/>
      <c r="E679" s="18"/>
      <c r="F679" s="12">
        <v>0</v>
      </c>
      <c r="G679" s="12">
        <f t="shared" si="38"/>
        <v>0</v>
      </c>
    </row>
    <row r="680" spans="1:7" x14ac:dyDescent="0.25">
      <c r="A680" s="13" t="s">
        <v>201</v>
      </c>
      <c r="B680" s="14">
        <v>200000</v>
      </c>
      <c r="C680" s="37"/>
      <c r="D680" s="37"/>
      <c r="E680" s="37"/>
      <c r="F680" s="34">
        <v>0</v>
      </c>
      <c r="G680" s="34">
        <f t="shared" si="38"/>
        <v>0</v>
      </c>
    </row>
    <row r="681" spans="1:7" x14ac:dyDescent="0.25">
      <c r="A681" s="15" t="s">
        <v>108</v>
      </c>
      <c r="B681" s="16">
        <v>200000</v>
      </c>
      <c r="C681" s="18"/>
      <c r="D681" s="18"/>
      <c r="E681" s="18"/>
      <c r="F681" s="12">
        <v>0</v>
      </c>
      <c r="G681" s="12">
        <f t="shared" si="38"/>
        <v>0</v>
      </c>
    </row>
    <row r="682" spans="1:7" x14ac:dyDescent="0.25">
      <c r="A682" s="13" t="s">
        <v>202</v>
      </c>
      <c r="B682" s="14">
        <v>5000000</v>
      </c>
      <c r="C682" s="14">
        <v>3000000</v>
      </c>
      <c r="D682" s="14">
        <v>180788.6</v>
      </c>
      <c r="E682" s="14">
        <v>180788.6</v>
      </c>
      <c r="F682" s="34">
        <f t="shared" si="41"/>
        <v>6.0262866666666672E-2</v>
      </c>
      <c r="G682" s="34">
        <f t="shared" si="38"/>
        <v>3.6157720000000004E-2</v>
      </c>
    </row>
    <row r="683" spans="1:7" x14ac:dyDescent="0.25">
      <c r="A683" s="15" t="s">
        <v>108</v>
      </c>
      <c r="B683" s="16">
        <v>5000000</v>
      </c>
      <c r="C683" s="16">
        <v>3000000</v>
      </c>
      <c r="D683" s="16">
        <v>180788.6</v>
      </c>
      <c r="E683" s="16">
        <v>180788.6</v>
      </c>
      <c r="F683" s="12">
        <f t="shared" si="41"/>
        <v>6.0262866666666672E-2</v>
      </c>
      <c r="G683" s="12">
        <f t="shared" si="38"/>
        <v>3.6157720000000004E-2</v>
      </c>
    </row>
    <row r="684" spans="1:7" x14ac:dyDescent="0.25">
      <c r="A684" s="35" t="s">
        <v>98</v>
      </c>
      <c r="B684" s="36">
        <f>B685+B705+B722+B725+B728+B737</f>
        <v>381704813</v>
      </c>
      <c r="C684" s="36">
        <f>C685+C705+C722+C725+C728+C737</f>
        <v>118487372</v>
      </c>
      <c r="D684" s="36">
        <f>D685+D705+D722+D725+D728+D737</f>
        <v>19436212.629999999</v>
      </c>
      <c r="E684" s="36">
        <f>E685+E705+E722+E725+E728+E737</f>
        <v>19436212.629999999</v>
      </c>
      <c r="F684" s="9">
        <f t="shared" si="41"/>
        <v>0.16403615256147294</v>
      </c>
      <c r="G684" s="9">
        <f t="shared" si="38"/>
        <v>5.0919485340626292E-2</v>
      </c>
    </row>
    <row r="685" spans="1:7" ht="24" x14ac:dyDescent="0.25">
      <c r="A685" s="10" t="s">
        <v>205</v>
      </c>
      <c r="B685" s="11">
        <f>B686+B688+B690+B692+B694+B696+B698+B700+B702</f>
        <v>268451027</v>
      </c>
      <c r="C685" s="11">
        <f t="shared" ref="C685:E685" si="43">C686+C688+C690+C692+C694+C696+C698+C700+C702</f>
        <v>63997460</v>
      </c>
      <c r="D685" s="11">
        <f t="shared" si="43"/>
        <v>14325782.02</v>
      </c>
      <c r="E685" s="11">
        <f t="shared" si="43"/>
        <v>14325782.02</v>
      </c>
      <c r="F685" s="12">
        <f t="shared" si="41"/>
        <v>0.22384922807873936</v>
      </c>
      <c r="G685" s="12">
        <f t="shared" si="38"/>
        <v>5.3364601283495926E-2</v>
      </c>
    </row>
    <row r="686" spans="1:7" x14ac:dyDescent="0.25">
      <c r="A686" s="13" t="s">
        <v>217</v>
      </c>
      <c r="B686" s="14">
        <v>1916700</v>
      </c>
      <c r="C686" s="14">
        <v>1916700</v>
      </c>
      <c r="D686" s="37"/>
      <c r="E686" s="37"/>
      <c r="F686" s="34">
        <f t="shared" si="41"/>
        <v>0</v>
      </c>
      <c r="G686" s="34">
        <f t="shared" si="38"/>
        <v>0</v>
      </c>
    </row>
    <row r="687" spans="1:7" ht="24" x14ac:dyDescent="0.25">
      <c r="A687" s="15" t="s">
        <v>115</v>
      </c>
      <c r="B687" s="16">
        <v>1916700</v>
      </c>
      <c r="C687" s="16">
        <v>1916700</v>
      </c>
      <c r="D687" s="18"/>
      <c r="E687" s="18"/>
      <c r="F687" s="12">
        <f t="shared" si="41"/>
        <v>0</v>
      </c>
      <c r="G687" s="12">
        <f t="shared" si="38"/>
        <v>0</v>
      </c>
    </row>
    <row r="688" spans="1:7" x14ac:dyDescent="0.25">
      <c r="A688" s="13" t="s">
        <v>218</v>
      </c>
      <c r="B688" s="14">
        <v>800000</v>
      </c>
      <c r="C688" s="14">
        <v>800000</v>
      </c>
      <c r="D688" s="37"/>
      <c r="E688" s="37"/>
      <c r="F688" s="34">
        <f t="shared" si="41"/>
        <v>0</v>
      </c>
      <c r="G688" s="34">
        <f t="shared" si="38"/>
        <v>0</v>
      </c>
    </row>
    <row r="689" spans="1:7" ht="24" x14ac:dyDescent="0.25">
      <c r="A689" s="15" t="s">
        <v>115</v>
      </c>
      <c r="B689" s="16">
        <v>800000</v>
      </c>
      <c r="C689" s="16">
        <v>800000</v>
      </c>
      <c r="D689" s="18"/>
      <c r="E689" s="18"/>
      <c r="F689" s="12">
        <f t="shared" si="41"/>
        <v>0</v>
      </c>
      <c r="G689" s="12">
        <f t="shared" si="38"/>
        <v>0</v>
      </c>
    </row>
    <row r="690" spans="1:7" x14ac:dyDescent="0.25">
      <c r="A690" s="13" t="s">
        <v>219</v>
      </c>
      <c r="B690" s="14">
        <v>425856</v>
      </c>
      <c r="C690" s="37"/>
      <c r="D690" s="37"/>
      <c r="E690" s="37"/>
      <c r="F690" s="34">
        <v>0</v>
      </c>
      <c r="G690" s="34">
        <f t="shared" si="38"/>
        <v>0</v>
      </c>
    </row>
    <row r="691" spans="1:7" ht="24" x14ac:dyDescent="0.25">
      <c r="A691" s="15" t="s">
        <v>115</v>
      </c>
      <c r="B691" s="16">
        <v>425856</v>
      </c>
      <c r="C691" s="18"/>
      <c r="D691" s="18"/>
      <c r="E691" s="18"/>
      <c r="F691" s="12">
        <v>0</v>
      </c>
      <c r="G691" s="12">
        <f t="shared" si="38"/>
        <v>0</v>
      </c>
    </row>
    <row r="692" spans="1:7" x14ac:dyDescent="0.25">
      <c r="A692" s="13" t="s">
        <v>220</v>
      </c>
      <c r="B692" s="14">
        <v>1924160</v>
      </c>
      <c r="C692" s="14">
        <v>1924160</v>
      </c>
      <c r="D692" s="37"/>
      <c r="E692" s="37"/>
      <c r="F692" s="34">
        <f t="shared" si="41"/>
        <v>0</v>
      </c>
      <c r="G692" s="34">
        <f t="shared" si="38"/>
        <v>0</v>
      </c>
    </row>
    <row r="693" spans="1:7" ht="24" x14ac:dyDescent="0.25">
      <c r="A693" s="15" t="s">
        <v>115</v>
      </c>
      <c r="B693" s="16">
        <v>1924160</v>
      </c>
      <c r="C693" s="16">
        <v>1924160</v>
      </c>
      <c r="D693" s="18"/>
      <c r="E693" s="18"/>
      <c r="F693" s="12">
        <f t="shared" si="41"/>
        <v>0</v>
      </c>
      <c r="G693" s="12">
        <f t="shared" si="38"/>
        <v>0</v>
      </c>
    </row>
    <row r="694" spans="1:7" x14ac:dyDescent="0.25">
      <c r="A694" s="13" t="s">
        <v>221</v>
      </c>
      <c r="B694" s="14">
        <v>1604831</v>
      </c>
      <c r="C694" s="37"/>
      <c r="D694" s="37"/>
      <c r="E694" s="37"/>
      <c r="F694" s="34">
        <v>0</v>
      </c>
      <c r="G694" s="34">
        <f t="shared" si="38"/>
        <v>0</v>
      </c>
    </row>
    <row r="695" spans="1:7" ht="24" x14ac:dyDescent="0.25">
      <c r="A695" s="15" t="s">
        <v>115</v>
      </c>
      <c r="B695" s="16">
        <v>1604831</v>
      </c>
      <c r="C695" s="18"/>
      <c r="D695" s="18"/>
      <c r="E695" s="18"/>
      <c r="F695" s="12">
        <v>0</v>
      </c>
      <c r="G695" s="12">
        <f t="shared" si="38"/>
        <v>0</v>
      </c>
    </row>
    <row r="696" spans="1:7" ht="24" x14ac:dyDescent="0.25">
      <c r="A696" s="13" t="s">
        <v>222</v>
      </c>
      <c r="B696" s="14">
        <v>800000</v>
      </c>
      <c r="C696" s="14">
        <v>800000</v>
      </c>
      <c r="D696" s="37"/>
      <c r="E696" s="37"/>
      <c r="F696" s="34">
        <f t="shared" si="41"/>
        <v>0</v>
      </c>
      <c r="G696" s="34">
        <f t="shared" si="38"/>
        <v>0</v>
      </c>
    </row>
    <row r="697" spans="1:7" ht="24" x14ac:dyDescent="0.25">
      <c r="A697" s="15" t="s">
        <v>115</v>
      </c>
      <c r="B697" s="16">
        <v>800000</v>
      </c>
      <c r="C697" s="16">
        <v>800000</v>
      </c>
      <c r="D697" s="18"/>
      <c r="E697" s="18"/>
      <c r="F697" s="12">
        <f t="shared" si="41"/>
        <v>0</v>
      </c>
      <c r="G697" s="12">
        <f t="shared" si="38"/>
        <v>0</v>
      </c>
    </row>
    <row r="698" spans="1:7" ht="36" x14ac:dyDescent="0.25">
      <c r="A698" s="13" t="s">
        <v>206</v>
      </c>
      <c r="B698" s="14">
        <v>247755800</v>
      </c>
      <c r="C698" s="14">
        <v>57056600</v>
      </c>
      <c r="D698" s="14">
        <v>14325782.02</v>
      </c>
      <c r="E698" s="14">
        <v>14325782.02</v>
      </c>
      <c r="F698" s="34">
        <f t="shared" si="41"/>
        <v>0.25108019089816075</v>
      </c>
      <c r="G698" s="34">
        <f t="shared" si="38"/>
        <v>5.782218628181459E-2</v>
      </c>
    </row>
    <row r="699" spans="1:7" ht="24" x14ac:dyDescent="0.25">
      <c r="A699" s="15" t="s">
        <v>115</v>
      </c>
      <c r="B699" s="16">
        <v>247755800</v>
      </c>
      <c r="C699" s="16">
        <v>57056600</v>
      </c>
      <c r="D699" s="16">
        <v>14325782.02</v>
      </c>
      <c r="E699" s="16">
        <v>14325782.02</v>
      </c>
      <c r="F699" s="12">
        <f t="shared" si="41"/>
        <v>0.25108019089816075</v>
      </c>
      <c r="G699" s="12">
        <f t="shared" si="38"/>
        <v>5.782218628181459E-2</v>
      </c>
    </row>
    <row r="700" spans="1:7" ht="24" x14ac:dyDescent="0.25">
      <c r="A700" s="13" t="s">
        <v>223</v>
      </c>
      <c r="B700" s="14">
        <v>1500000</v>
      </c>
      <c r="C700" s="14">
        <v>1500000</v>
      </c>
      <c r="D700" s="37"/>
      <c r="E700" s="37"/>
      <c r="F700" s="34">
        <f t="shared" si="41"/>
        <v>0</v>
      </c>
      <c r="G700" s="34">
        <f t="shared" si="38"/>
        <v>0</v>
      </c>
    </row>
    <row r="701" spans="1:7" ht="24" x14ac:dyDescent="0.25">
      <c r="A701" s="15" t="s">
        <v>115</v>
      </c>
      <c r="B701" s="16">
        <v>1500000</v>
      </c>
      <c r="C701" s="16">
        <v>1500000</v>
      </c>
      <c r="D701" s="18"/>
      <c r="E701" s="18"/>
      <c r="F701" s="12">
        <f t="shared" si="41"/>
        <v>0</v>
      </c>
      <c r="G701" s="12">
        <f t="shared" si="38"/>
        <v>0</v>
      </c>
    </row>
    <row r="702" spans="1:7" ht="24" x14ac:dyDescent="0.25">
      <c r="A702" s="13" t="s">
        <v>145</v>
      </c>
      <c r="B702" s="14">
        <v>11723680</v>
      </c>
      <c r="C702" s="37"/>
      <c r="D702" s="37"/>
      <c r="E702" s="37"/>
      <c r="F702" s="34">
        <v>0</v>
      </c>
      <c r="G702" s="34">
        <f t="shared" si="38"/>
        <v>0</v>
      </c>
    </row>
    <row r="703" spans="1:7" x14ac:dyDescent="0.25">
      <c r="A703" s="15" t="s">
        <v>224</v>
      </c>
      <c r="B703" s="16">
        <v>6908680</v>
      </c>
      <c r="C703" s="18"/>
      <c r="D703" s="18"/>
      <c r="E703" s="18"/>
      <c r="F703" s="12">
        <v>0</v>
      </c>
      <c r="G703" s="12">
        <f t="shared" si="38"/>
        <v>0</v>
      </c>
    </row>
    <row r="704" spans="1:7" ht="24" x14ac:dyDescent="0.25">
      <c r="A704" s="15" t="s">
        <v>115</v>
      </c>
      <c r="B704" s="16">
        <v>4815000</v>
      </c>
      <c r="C704" s="18"/>
      <c r="D704" s="18"/>
      <c r="E704" s="18"/>
      <c r="F704" s="12">
        <v>0</v>
      </c>
      <c r="G704" s="12">
        <f t="shared" si="38"/>
        <v>0</v>
      </c>
    </row>
    <row r="705" spans="1:7" ht="24" x14ac:dyDescent="0.25">
      <c r="A705" s="10" t="s">
        <v>225</v>
      </c>
      <c r="B705" s="11">
        <v>33495046</v>
      </c>
      <c r="C705" s="11">
        <v>14731172</v>
      </c>
      <c r="D705" s="21"/>
      <c r="E705" s="21"/>
      <c r="F705" s="12">
        <f t="shared" si="41"/>
        <v>0</v>
      </c>
      <c r="G705" s="12">
        <f t="shared" si="38"/>
        <v>0</v>
      </c>
    </row>
    <row r="706" spans="1:7" x14ac:dyDescent="0.25">
      <c r="A706" s="13" t="s">
        <v>226</v>
      </c>
      <c r="B706" s="14">
        <v>4075500</v>
      </c>
      <c r="C706" s="14">
        <v>4075500</v>
      </c>
      <c r="D706" s="37"/>
      <c r="E706" s="37"/>
      <c r="F706" s="34">
        <f t="shared" si="41"/>
        <v>0</v>
      </c>
      <c r="G706" s="34">
        <f t="shared" si="38"/>
        <v>0</v>
      </c>
    </row>
    <row r="707" spans="1:7" ht="24" x14ac:dyDescent="0.25">
      <c r="A707" s="15" t="s">
        <v>115</v>
      </c>
      <c r="B707" s="16">
        <v>4075500</v>
      </c>
      <c r="C707" s="16">
        <v>4075500</v>
      </c>
      <c r="D707" s="18"/>
      <c r="E707" s="18"/>
      <c r="F707" s="12">
        <f t="shared" si="41"/>
        <v>0</v>
      </c>
      <c r="G707" s="12">
        <f t="shared" si="38"/>
        <v>0</v>
      </c>
    </row>
    <row r="708" spans="1:7" x14ac:dyDescent="0.25">
      <c r="A708" s="13" t="s">
        <v>218</v>
      </c>
      <c r="B708" s="14">
        <v>8550000</v>
      </c>
      <c r="C708" s="37"/>
      <c r="D708" s="37"/>
      <c r="E708" s="37"/>
      <c r="F708" s="34">
        <v>0</v>
      </c>
      <c r="G708" s="34">
        <f t="shared" si="38"/>
        <v>0</v>
      </c>
    </row>
    <row r="709" spans="1:7" ht="24" x14ac:dyDescent="0.25">
      <c r="A709" s="15" t="s">
        <v>115</v>
      </c>
      <c r="B709" s="16">
        <v>8550000</v>
      </c>
      <c r="C709" s="18"/>
      <c r="D709" s="18"/>
      <c r="E709" s="18"/>
      <c r="F709" s="12">
        <v>0</v>
      </c>
      <c r="G709" s="12">
        <f t="shared" si="38"/>
        <v>0</v>
      </c>
    </row>
    <row r="710" spans="1:7" x14ac:dyDescent="0.25">
      <c r="A710" s="13" t="s">
        <v>221</v>
      </c>
      <c r="B710" s="14">
        <v>516323</v>
      </c>
      <c r="C710" s="14">
        <v>516323</v>
      </c>
      <c r="D710" s="37"/>
      <c r="E710" s="37"/>
      <c r="F710" s="34">
        <f t="shared" si="41"/>
        <v>0</v>
      </c>
      <c r="G710" s="34">
        <f t="shared" si="38"/>
        <v>0</v>
      </c>
    </row>
    <row r="711" spans="1:7" ht="24" x14ac:dyDescent="0.25">
      <c r="A711" s="15" t="s">
        <v>115</v>
      </c>
      <c r="B711" s="16">
        <v>516323</v>
      </c>
      <c r="C711" s="16">
        <v>516323</v>
      </c>
      <c r="D711" s="18"/>
      <c r="E711" s="18"/>
      <c r="F711" s="12">
        <f t="shared" si="41"/>
        <v>0</v>
      </c>
      <c r="G711" s="12">
        <f t="shared" si="38"/>
        <v>0</v>
      </c>
    </row>
    <row r="712" spans="1:7" ht="36" x14ac:dyDescent="0.25">
      <c r="A712" s="13" t="s">
        <v>206</v>
      </c>
      <c r="B712" s="14">
        <v>4736900</v>
      </c>
      <c r="C712" s="37"/>
      <c r="D712" s="37"/>
      <c r="E712" s="37"/>
      <c r="F712" s="34">
        <v>0</v>
      </c>
      <c r="G712" s="34">
        <f t="shared" si="38"/>
        <v>0</v>
      </c>
    </row>
    <row r="713" spans="1:7" ht="24" x14ac:dyDescent="0.25">
      <c r="A713" s="15" t="s">
        <v>115</v>
      </c>
      <c r="B713" s="16">
        <v>4736900</v>
      </c>
      <c r="C713" s="18"/>
      <c r="D713" s="18"/>
      <c r="E713" s="18"/>
      <c r="F713" s="12">
        <v>0</v>
      </c>
      <c r="G713" s="12">
        <f t="shared" si="38"/>
        <v>0</v>
      </c>
    </row>
    <row r="714" spans="1:7" ht="24" x14ac:dyDescent="0.25">
      <c r="A714" s="13" t="s">
        <v>227</v>
      </c>
      <c r="B714" s="14">
        <v>2024944</v>
      </c>
      <c r="C714" s="14">
        <v>2024944</v>
      </c>
      <c r="D714" s="37"/>
      <c r="E714" s="37"/>
      <c r="F714" s="34">
        <f t="shared" si="41"/>
        <v>0</v>
      </c>
      <c r="G714" s="34">
        <f t="shared" si="38"/>
        <v>0</v>
      </c>
    </row>
    <row r="715" spans="1:7" ht="24" x14ac:dyDescent="0.25">
      <c r="A715" s="15" t="s">
        <v>115</v>
      </c>
      <c r="B715" s="16">
        <v>2024944</v>
      </c>
      <c r="C715" s="16">
        <v>2024944</v>
      </c>
      <c r="D715" s="18"/>
      <c r="E715" s="18"/>
      <c r="F715" s="12">
        <f t="shared" si="41"/>
        <v>0</v>
      </c>
      <c r="G715" s="12">
        <f t="shared" si="38"/>
        <v>0</v>
      </c>
    </row>
    <row r="716" spans="1:7" ht="24" x14ac:dyDescent="0.25">
      <c r="A716" s="13" t="s">
        <v>228</v>
      </c>
      <c r="B716" s="14">
        <v>3187097</v>
      </c>
      <c r="C716" s="14">
        <v>3187097</v>
      </c>
      <c r="D716" s="37"/>
      <c r="E716" s="37"/>
      <c r="F716" s="34">
        <f t="shared" si="41"/>
        <v>0</v>
      </c>
      <c r="G716" s="34">
        <f t="shared" si="38"/>
        <v>0</v>
      </c>
    </row>
    <row r="717" spans="1:7" ht="24" x14ac:dyDescent="0.25">
      <c r="A717" s="15" t="s">
        <v>115</v>
      </c>
      <c r="B717" s="16">
        <v>3187097</v>
      </c>
      <c r="C717" s="16">
        <v>3187097</v>
      </c>
      <c r="D717" s="18"/>
      <c r="E717" s="18"/>
      <c r="F717" s="12">
        <f t="shared" si="41"/>
        <v>0</v>
      </c>
      <c r="G717" s="12">
        <f t="shared" si="38"/>
        <v>0</v>
      </c>
    </row>
    <row r="718" spans="1:7" ht="24" x14ac:dyDescent="0.25">
      <c r="A718" s="13" t="s">
        <v>229</v>
      </c>
      <c r="B718" s="14">
        <v>4927308</v>
      </c>
      <c r="C718" s="14">
        <v>4927308</v>
      </c>
      <c r="D718" s="37"/>
      <c r="E718" s="37"/>
      <c r="F718" s="34">
        <f t="shared" si="41"/>
        <v>0</v>
      </c>
      <c r="G718" s="34">
        <f t="shared" si="38"/>
        <v>0</v>
      </c>
    </row>
    <row r="719" spans="1:7" ht="24" x14ac:dyDescent="0.25">
      <c r="A719" s="15" t="s">
        <v>115</v>
      </c>
      <c r="B719" s="16">
        <v>4927308</v>
      </c>
      <c r="C719" s="16">
        <v>4927308</v>
      </c>
      <c r="D719" s="18"/>
      <c r="E719" s="18"/>
      <c r="F719" s="12">
        <f t="shared" si="41"/>
        <v>0</v>
      </c>
      <c r="G719" s="12">
        <f t="shared" ref="G719:G782" si="44">D719/B719</f>
        <v>0</v>
      </c>
    </row>
    <row r="720" spans="1:7" ht="24" x14ac:dyDescent="0.25">
      <c r="A720" s="13" t="s">
        <v>230</v>
      </c>
      <c r="B720" s="14">
        <v>5476974</v>
      </c>
      <c r="C720" s="37"/>
      <c r="D720" s="37"/>
      <c r="E720" s="37"/>
      <c r="F720" s="34">
        <v>0</v>
      </c>
      <c r="G720" s="34">
        <f t="shared" si="44"/>
        <v>0</v>
      </c>
    </row>
    <row r="721" spans="1:7" ht="24" x14ac:dyDescent="0.25">
      <c r="A721" s="15" t="s">
        <v>115</v>
      </c>
      <c r="B721" s="16">
        <v>5476974</v>
      </c>
      <c r="C721" s="18"/>
      <c r="D721" s="18"/>
      <c r="E721" s="18"/>
      <c r="F721" s="12">
        <v>0</v>
      </c>
      <c r="G721" s="12">
        <f t="shared" si="44"/>
        <v>0</v>
      </c>
    </row>
    <row r="722" spans="1:7" ht="24" x14ac:dyDescent="0.25">
      <c r="A722" s="10" t="s">
        <v>231</v>
      </c>
      <c r="B722" s="11">
        <v>7367256</v>
      </c>
      <c r="C722" s="11">
        <v>7367256</v>
      </c>
      <c r="D722" s="11">
        <v>3664019.25</v>
      </c>
      <c r="E722" s="11">
        <v>3664019.25</v>
      </c>
      <c r="F722" s="12">
        <f t="shared" si="41"/>
        <v>0.49733839166169874</v>
      </c>
      <c r="G722" s="12">
        <f t="shared" si="44"/>
        <v>0.49733839166169874</v>
      </c>
    </row>
    <row r="723" spans="1:7" ht="24" x14ac:dyDescent="0.25">
      <c r="A723" s="13" t="s">
        <v>145</v>
      </c>
      <c r="B723" s="14">
        <v>7367256</v>
      </c>
      <c r="C723" s="14">
        <v>7367256</v>
      </c>
      <c r="D723" s="14">
        <v>3664019.25</v>
      </c>
      <c r="E723" s="14">
        <v>3664019.25</v>
      </c>
      <c r="F723" s="34">
        <f t="shared" si="41"/>
        <v>0.49733839166169874</v>
      </c>
      <c r="G723" s="34">
        <f t="shared" si="44"/>
        <v>0.49733839166169874</v>
      </c>
    </row>
    <row r="724" spans="1:7" ht="24" x14ac:dyDescent="0.25">
      <c r="A724" s="15" t="s">
        <v>115</v>
      </c>
      <c r="B724" s="16">
        <v>7367256</v>
      </c>
      <c r="C724" s="16">
        <v>7367256</v>
      </c>
      <c r="D724" s="16">
        <v>3664019.25</v>
      </c>
      <c r="E724" s="16">
        <v>3664019.25</v>
      </c>
      <c r="F724" s="12">
        <f t="shared" si="41"/>
        <v>0.49733839166169874</v>
      </c>
      <c r="G724" s="12">
        <f t="shared" si="44"/>
        <v>0.49733839166169874</v>
      </c>
    </row>
    <row r="725" spans="1:7" ht="60" x14ac:dyDescent="0.25">
      <c r="A725" s="10" t="s">
        <v>232</v>
      </c>
      <c r="B725" s="11">
        <v>27600000</v>
      </c>
      <c r="C725" s="11">
        <v>27600000</v>
      </c>
      <c r="D725" s="21"/>
      <c r="E725" s="21"/>
      <c r="F725" s="12">
        <f t="shared" si="41"/>
        <v>0</v>
      </c>
      <c r="G725" s="12">
        <f t="shared" si="44"/>
        <v>0</v>
      </c>
    </row>
    <row r="726" spans="1:7" ht="24" x14ac:dyDescent="0.25">
      <c r="A726" s="13" t="s">
        <v>142</v>
      </c>
      <c r="B726" s="14">
        <v>27600000</v>
      </c>
      <c r="C726" s="14">
        <v>27600000</v>
      </c>
      <c r="D726" s="37"/>
      <c r="E726" s="37"/>
      <c r="F726" s="34">
        <f t="shared" si="41"/>
        <v>0</v>
      </c>
      <c r="G726" s="34">
        <f t="shared" si="44"/>
        <v>0</v>
      </c>
    </row>
    <row r="727" spans="1:7" x14ac:dyDescent="0.25">
      <c r="A727" s="15" t="s">
        <v>130</v>
      </c>
      <c r="B727" s="16">
        <v>27600000</v>
      </c>
      <c r="C727" s="16">
        <v>27600000</v>
      </c>
      <c r="D727" s="18"/>
      <c r="E727" s="18"/>
      <c r="F727" s="12">
        <f t="shared" si="41"/>
        <v>0</v>
      </c>
      <c r="G727" s="12">
        <f t="shared" si="44"/>
        <v>0</v>
      </c>
    </row>
    <row r="728" spans="1:7" ht="24" x14ac:dyDescent="0.25">
      <c r="A728" s="10" t="s">
        <v>233</v>
      </c>
      <c r="B728" s="11">
        <v>4791484</v>
      </c>
      <c r="C728" s="11">
        <v>4791484</v>
      </c>
      <c r="D728" s="11">
        <v>1446411.36</v>
      </c>
      <c r="E728" s="11">
        <v>1446411.36</v>
      </c>
      <c r="F728" s="12">
        <f t="shared" si="41"/>
        <v>0.30187126994476032</v>
      </c>
      <c r="G728" s="12">
        <f t="shared" si="44"/>
        <v>0.30187126994476032</v>
      </c>
    </row>
    <row r="729" spans="1:7" ht="24" x14ac:dyDescent="0.25">
      <c r="A729" s="13" t="s">
        <v>234</v>
      </c>
      <c r="B729" s="14">
        <v>1452264</v>
      </c>
      <c r="C729" s="14">
        <v>1452264</v>
      </c>
      <c r="D729" s="14">
        <v>1446411.36</v>
      </c>
      <c r="E729" s="14">
        <v>1446411.36</v>
      </c>
      <c r="F729" s="34">
        <f t="shared" ref="F729:F792" si="45">D729/C729</f>
        <v>0.99596998892763311</v>
      </c>
      <c r="G729" s="34">
        <f t="shared" si="44"/>
        <v>0.99596998892763311</v>
      </c>
    </row>
    <row r="730" spans="1:7" ht="24" x14ac:dyDescent="0.25">
      <c r="A730" s="15" t="s">
        <v>115</v>
      </c>
      <c r="B730" s="16">
        <v>1452264</v>
      </c>
      <c r="C730" s="16">
        <v>1452264</v>
      </c>
      <c r="D730" s="16">
        <v>1446411.36</v>
      </c>
      <c r="E730" s="16">
        <v>1446411.36</v>
      </c>
      <c r="F730" s="12">
        <f t="shared" si="45"/>
        <v>0.99596998892763311</v>
      </c>
      <c r="G730" s="12">
        <f t="shared" si="44"/>
        <v>0.99596998892763311</v>
      </c>
    </row>
    <row r="731" spans="1:7" ht="24" x14ac:dyDescent="0.25">
      <c r="A731" s="13" t="s">
        <v>235</v>
      </c>
      <c r="B731" s="14">
        <v>1498734</v>
      </c>
      <c r="C731" s="14">
        <v>1498734</v>
      </c>
      <c r="D731" s="37"/>
      <c r="E731" s="37"/>
      <c r="F731" s="34">
        <f t="shared" si="45"/>
        <v>0</v>
      </c>
      <c r="G731" s="34">
        <f t="shared" si="44"/>
        <v>0</v>
      </c>
    </row>
    <row r="732" spans="1:7" ht="24" x14ac:dyDescent="0.25">
      <c r="A732" s="15" t="s">
        <v>115</v>
      </c>
      <c r="B732" s="16">
        <v>1498734</v>
      </c>
      <c r="C732" s="16">
        <v>1498734</v>
      </c>
      <c r="D732" s="18"/>
      <c r="E732" s="18"/>
      <c r="F732" s="12">
        <f t="shared" si="45"/>
        <v>0</v>
      </c>
      <c r="G732" s="12">
        <f t="shared" si="44"/>
        <v>0</v>
      </c>
    </row>
    <row r="733" spans="1:7" ht="24" x14ac:dyDescent="0.25">
      <c r="A733" s="13" t="s">
        <v>223</v>
      </c>
      <c r="B733" s="14">
        <v>1500000</v>
      </c>
      <c r="C733" s="14">
        <v>1500000</v>
      </c>
      <c r="D733" s="37"/>
      <c r="E733" s="37"/>
      <c r="F733" s="34">
        <f t="shared" si="45"/>
        <v>0</v>
      </c>
      <c r="G733" s="34">
        <f t="shared" si="44"/>
        <v>0</v>
      </c>
    </row>
    <row r="734" spans="1:7" ht="24" x14ac:dyDescent="0.25">
      <c r="A734" s="15" t="s">
        <v>115</v>
      </c>
      <c r="B734" s="16">
        <v>1500000</v>
      </c>
      <c r="C734" s="16">
        <v>1500000</v>
      </c>
      <c r="D734" s="18"/>
      <c r="E734" s="18"/>
      <c r="F734" s="12">
        <f t="shared" si="45"/>
        <v>0</v>
      </c>
      <c r="G734" s="12">
        <f t="shared" si="44"/>
        <v>0</v>
      </c>
    </row>
    <row r="735" spans="1:7" ht="24" x14ac:dyDescent="0.25">
      <c r="A735" s="13" t="s">
        <v>145</v>
      </c>
      <c r="B735" s="14">
        <v>340486</v>
      </c>
      <c r="C735" s="14">
        <v>340486</v>
      </c>
      <c r="D735" s="37"/>
      <c r="E735" s="37"/>
      <c r="F735" s="34">
        <f t="shared" si="45"/>
        <v>0</v>
      </c>
      <c r="G735" s="34">
        <f t="shared" si="44"/>
        <v>0</v>
      </c>
    </row>
    <row r="736" spans="1:7" x14ac:dyDescent="0.25">
      <c r="A736" s="15" t="s">
        <v>224</v>
      </c>
      <c r="B736" s="16">
        <v>340486</v>
      </c>
      <c r="C736" s="16">
        <v>340486</v>
      </c>
      <c r="D736" s="18"/>
      <c r="E736" s="18"/>
      <c r="F736" s="12">
        <f t="shared" si="45"/>
        <v>0</v>
      </c>
      <c r="G736" s="12">
        <f t="shared" si="44"/>
        <v>0</v>
      </c>
    </row>
    <row r="737" spans="1:7" ht="24" x14ac:dyDescent="0.25">
      <c r="A737" s="10" t="s">
        <v>236</v>
      </c>
      <c r="B737" s="11">
        <v>40000000</v>
      </c>
      <c r="C737" s="21"/>
      <c r="D737" s="21"/>
      <c r="E737" s="21"/>
      <c r="F737" s="12">
        <v>0</v>
      </c>
      <c r="G737" s="12">
        <f t="shared" si="44"/>
        <v>0</v>
      </c>
    </row>
    <row r="738" spans="1:7" ht="36" x14ac:dyDescent="0.25">
      <c r="A738" s="13" t="s">
        <v>206</v>
      </c>
      <c r="B738" s="14">
        <v>35800000</v>
      </c>
      <c r="C738" s="37"/>
      <c r="D738" s="37"/>
      <c r="E738" s="37"/>
      <c r="F738" s="34">
        <v>0</v>
      </c>
      <c r="G738" s="34">
        <f t="shared" si="44"/>
        <v>0</v>
      </c>
    </row>
    <row r="739" spans="1:7" ht="24" x14ac:dyDescent="0.25">
      <c r="A739" s="15" t="s">
        <v>115</v>
      </c>
      <c r="B739" s="16">
        <v>35800000</v>
      </c>
      <c r="C739" s="18"/>
      <c r="D739" s="18"/>
      <c r="E739" s="18"/>
      <c r="F739" s="12">
        <v>0</v>
      </c>
      <c r="G739" s="12">
        <f t="shared" si="44"/>
        <v>0</v>
      </c>
    </row>
    <row r="740" spans="1:7" ht="24" x14ac:dyDescent="0.25">
      <c r="A740" s="13" t="s">
        <v>237</v>
      </c>
      <c r="B740" s="14">
        <v>4200000</v>
      </c>
      <c r="C740" s="37"/>
      <c r="D740" s="37"/>
      <c r="E740" s="37"/>
      <c r="F740" s="34">
        <v>0</v>
      </c>
      <c r="G740" s="34">
        <f t="shared" si="44"/>
        <v>0</v>
      </c>
    </row>
    <row r="741" spans="1:7" ht="24" x14ac:dyDescent="0.25">
      <c r="A741" s="15" t="s">
        <v>115</v>
      </c>
      <c r="B741" s="16">
        <v>4200000</v>
      </c>
      <c r="C741" s="18"/>
      <c r="D741" s="18"/>
      <c r="E741" s="18"/>
      <c r="F741" s="12">
        <v>0</v>
      </c>
      <c r="G741" s="12">
        <f t="shared" si="44"/>
        <v>0</v>
      </c>
    </row>
  </sheetData>
  <mergeCells count="7">
    <mergeCell ref="A1:G1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CA6D-D2F1-400C-93A1-AE405DC926AC}">
  <dimension ref="A1:G715"/>
  <sheetViews>
    <sheetView workbookViewId="0">
      <selection activeCell="B2" sqref="B2:B5"/>
    </sheetView>
  </sheetViews>
  <sheetFormatPr defaultRowHeight="15" x14ac:dyDescent="0.25"/>
  <cols>
    <col min="1" max="1" width="53.28515625" style="1" customWidth="1"/>
    <col min="2" max="2" width="18.42578125" style="2" customWidth="1"/>
    <col min="3" max="3" width="20" style="2" customWidth="1"/>
    <col min="4" max="4" width="19" style="2" customWidth="1"/>
    <col min="5" max="5" width="17.42578125" style="2" customWidth="1"/>
    <col min="6" max="6" width="14.7109375" style="2" customWidth="1"/>
    <col min="7" max="7" width="15.28515625" style="2" customWidth="1"/>
  </cols>
  <sheetData>
    <row r="1" spans="1:7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3" t="s">
        <v>1</v>
      </c>
      <c r="B2" s="27" t="s">
        <v>134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x14ac:dyDescent="0.25">
      <c r="A3" s="3" t="s">
        <v>7</v>
      </c>
      <c r="B3" s="27"/>
      <c r="C3" s="27"/>
      <c r="D3" s="27"/>
      <c r="E3" s="27"/>
      <c r="F3" s="27"/>
      <c r="G3" s="27"/>
    </row>
    <row r="4" spans="1:7" x14ac:dyDescent="0.25">
      <c r="A4" s="3" t="s">
        <v>8</v>
      </c>
      <c r="B4" s="27"/>
      <c r="C4" s="27"/>
      <c r="D4" s="27"/>
      <c r="E4" s="27"/>
      <c r="F4" s="27"/>
      <c r="G4" s="27"/>
    </row>
    <row r="5" spans="1:7" x14ac:dyDescent="0.25">
      <c r="A5" s="3" t="s">
        <v>9</v>
      </c>
      <c r="B5" s="27"/>
      <c r="C5" s="27"/>
      <c r="D5" s="27"/>
      <c r="E5" s="27"/>
      <c r="F5" s="27"/>
      <c r="G5" s="27"/>
    </row>
    <row r="6" spans="1:7" x14ac:dyDescent="0.25">
      <c r="A6" s="4" t="s">
        <v>10</v>
      </c>
      <c r="B6" s="5">
        <f>B7+B85+B409+B464+B498+B544+B548</f>
        <v>3309736982</v>
      </c>
      <c r="C6" s="5">
        <f>C7+C85+C409+C464+C498+C544+C548</f>
        <v>919042581</v>
      </c>
      <c r="D6" s="5">
        <v>779781599.25999999</v>
      </c>
      <c r="E6" s="5">
        <v>772665730.48000002</v>
      </c>
      <c r="F6" s="6">
        <f t="shared" ref="F6:F69" si="0">D6/C6</f>
        <v>0.84847167626501951</v>
      </c>
      <c r="G6" s="6">
        <f t="shared" ref="G6:G69" si="1">D6/B6</f>
        <v>0.23560228607313546</v>
      </c>
    </row>
    <row r="7" spans="1:7" x14ac:dyDescent="0.25">
      <c r="A7" s="7" t="s">
        <v>11</v>
      </c>
      <c r="B7" s="8">
        <v>189668342</v>
      </c>
      <c r="C7" s="8">
        <f>C8</f>
        <v>55937734</v>
      </c>
      <c r="D7" s="8">
        <v>47798656.780000001</v>
      </c>
      <c r="E7" s="8">
        <v>47669942.380000003</v>
      </c>
      <c r="F7" s="9">
        <f t="shared" si="0"/>
        <v>0.85449755222476476</v>
      </c>
      <c r="G7" s="9">
        <f t="shared" si="1"/>
        <v>0.25201178159716292</v>
      </c>
    </row>
    <row r="8" spans="1:7" ht="36" x14ac:dyDescent="0.25">
      <c r="A8" s="10" t="s">
        <v>12</v>
      </c>
      <c r="B8" s="11">
        <v>189668342</v>
      </c>
      <c r="C8" s="11">
        <f>C9+C18+C28+C37+C47+C55+C64+C68+C76</f>
        <v>55937734</v>
      </c>
      <c r="D8" s="11">
        <v>47798656.780000001</v>
      </c>
      <c r="E8" s="11">
        <v>47669942.380000003</v>
      </c>
      <c r="F8" s="12">
        <f t="shared" si="0"/>
        <v>0.85449755222476476</v>
      </c>
      <c r="G8" s="12">
        <f t="shared" si="1"/>
        <v>0.25201178159716292</v>
      </c>
    </row>
    <row r="9" spans="1:7" ht="36" x14ac:dyDescent="0.25">
      <c r="A9" s="13" t="s">
        <v>13</v>
      </c>
      <c r="B9" s="14">
        <v>25140287</v>
      </c>
      <c r="C9" s="14">
        <f>SUM(C10:C17)</f>
        <v>7218274</v>
      </c>
      <c r="D9" s="14">
        <v>6172640.5700000003</v>
      </c>
      <c r="E9" s="14">
        <v>6172640.5700000003</v>
      </c>
      <c r="F9" s="12">
        <f t="shared" si="0"/>
        <v>0.85514079543115162</v>
      </c>
      <c r="G9" s="12">
        <f t="shared" si="1"/>
        <v>0.24552784819043635</v>
      </c>
    </row>
    <row r="10" spans="1:7" x14ac:dyDescent="0.25">
      <c r="A10" s="15" t="s">
        <v>14</v>
      </c>
      <c r="B10" s="16">
        <v>17847807</v>
      </c>
      <c r="C10" s="16">
        <v>5143119</v>
      </c>
      <c r="D10" s="16">
        <v>4824509.78</v>
      </c>
      <c r="E10" s="16">
        <v>4824509.78</v>
      </c>
      <c r="F10" s="17">
        <f t="shared" si="0"/>
        <v>0.93805136144040224</v>
      </c>
      <c r="G10" s="17">
        <f t="shared" si="1"/>
        <v>0.27031386993371231</v>
      </c>
    </row>
    <row r="11" spans="1:7" x14ac:dyDescent="0.25">
      <c r="A11" s="15" t="s">
        <v>15</v>
      </c>
      <c r="B11" s="16">
        <v>3926518</v>
      </c>
      <c r="C11" s="16">
        <v>1131487</v>
      </c>
      <c r="D11" s="16">
        <v>939671.38</v>
      </c>
      <c r="E11" s="16">
        <v>939671.38</v>
      </c>
      <c r="F11" s="17">
        <f t="shared" si="0"/>
        <v>0.83047474694804269</v>
      </c>
      <c r="G11" s="17">
        <f t="shared" si="1"/>
        <v>0.23931416588437898</v>
      </c>
    </row>
    <row r="12" spans="1:7" x14ac:dyDescent="0.25">
      <c r="A12" s="15" t="s">
        <v>16</v>
      </c>
      <c r="B12" s="16">
        <v>734965</v>
      </c>
      <c r="C12" s="16">
        <v>175515</v>
      </c>
      <c r="D12" s="16">
        <v>120731.21</v>
      </c>
      <c r="E12" s="16">
        <v>120731.21</v>
      </c>
      <c r="F12" s="17">
        <f t="shared" si="0"/>
        <v>0.68786833034213601</v>
      </c>
      <c r="G12" s="17">
        <f t="shared" si="1"/>
        <v>0.16426797194424225</v>
      </c>
    </row>
    <row r="13" spans="1:7" x14ac:dyDescent="0.25">
      <c r="A13" s="15" t="s">
        <v>17</v>
      </c>
      <c r="B13" s="16">
        <v>1684272</v>
      </c>
      <c r="C13" s="16">
        <v>421068</v>
      </c>
      <c r="D13" s="16">
        <v>108916.02</v>
      </c>
      <c r="E13" s="16">
        <v>108916.02</v>
      </c>
      <c r="F13" s="17">
        <f t="shared" si="0"/>
        <v>0.25866610618712416</v>
      </c>
      <c r="G13" s="17">
        <f t="shared" si="1"/>
        <v>6.4666526546781039E-2</v>
      </c>
    </row>
    <row r="14" spans="1:7" x14ac:dyDescent="0.25">
      <c r="A14" s="15" t="s">
        <v>18</v>
      </c>
      <c r="B14" s="16">
        <v>402173</v>
      </c>
      <c r="C14" s="16">
        <v>214622</v>
      </c>
      <c r="D14" s="16">
        <v>95532.01</v>
      </c>
      <c r="E14" s="16">
        <v>95532.01</v>
      </c>
      <c r="F14" s="17">
        <f t="shared" si="0"/>
        <v>0.445117508922664</v>
      </c>
      <c r="G14" s="17">
        <f t="shared" si="1"/>
        <v>0.23753959117096374</v>
      </c>
    </row>
    <row r="15" spans="1:7" x14ac:dyDescent="0.25">
      <c r="A15" s="15" t="s">
        <v>19</v>
      </c>
      <c r="B15" s="16">
        <v>29677</v>
      </c>
      <c r="C15" s="16">
        <v>9476</v>
      </c>
      <c r="D15" s="16">
        <v>3428.11</v>
      </c>
      <c r="E15" s="16">
        <v>3428.11</v>
      </c>
      <c r="F15" s="17">
        <f t="shared" si="0"/>
        <v>0.3617676234698185</v>
      </c>
      <c r="G15" s="17">
        <f t="shared" si="1"/>
        <v>0.11551403443744314</v>
      </c>
    </row>
    <row r="16" spans="1:7" x14ac:dyDescent="0.25">
      <c r="A16" s="15" t="s">
        <v>20</v>
      </c>
      <c r="B16" s="16">
        <v>509875</v>
      </c>
      <c r="C16" s="16">
        <v>120987</v>
      </c>
      <c r="D16" s="16">
        <v>77952.06</v>
      </c>
      <c r="E16" s="16">
        <v>77952.06</v>
      </c>
      <c r="F16" s="17">
        <f t="shared" si="0"/>
        <v>0.64430112326117683</v>
      </c>
      <c r="G16" s="17">
        <f t="shared" si="1"/>
        <v>0.15288464819808775</v>
      </c>
    </row>
    <row r="17" spans="1:7" ht="24" x14ac:dyDescent="0.25">
      <c r="A17" s="15" t="s">
        <v>21</v>
      </c>
      <c r="B17" s="16">
        <v>5000</v>
      </c>
      <c r="C17" s="16">
        <v>2000</v>
      </c>
      <c r="D17" s="16">
        <v>1900</v>
      </c>
      <c r="E17" s="16">
        <v>1900</v>
      </c>
      <c r="F17" s="17">
        <f t="shared" si="0"/>
        <v>0.95</v>
      </c>
      <c r="G17" s="17">
        <f t="shared" si="1"/>
        <v>0.38</v>
      </c>
    </row>
    <row r="18" spans="1:7" x14ac:dyDescent="0.25">
      <c r="A18" s="13" t="s">
        <v>22</v>
      </c>
      <c r="B18" s="14">
        <v>68569196</v>
      </c>
      <c r="C18" s="14">
        <v>20566526</v>
      </c>
      <c r="D18" s="14">
        <v>17054424.010000002</v>
      </c>
      <c r="E18" s="14">
        <v>17002344.010000002</v>
      </c>
      <c r="F18" s="12">
        <f t="shared" si="0"/>
        <v>0.82923212262489066</v>
      </c>
      <c r="G18" s="12">
        <f t="shared" si="1"/>
        <v>0.24871844800396961</v>
      </c>
    </row>
    <row r="19" spans="1:7" x14ac:dyDescent="0.25">
      <c r="A19" s="15" t="s">
        <v>14</v>
      </c>
      <c r="B19" s="16">
        <v>50702472</v>
      </c>
      <c r="C19" s="16">
        <v>15150618</v>
      </c>
      <c r="D19" s="16">
        <v>13511870.449999999</v>
      </c>
      <c r="E19" s="16">
        <v>13511870.449999999</v>
      </c>
      <c r="F19" s="17">
        <f t="shared" si="0"/>
        <v>0.89183625710845582</v>
      </c>
      <c r="G19" s="17">
        <f t="shared" si="1"/>
        <v>0.26649332699202516</v>
      </c>
    </row>
    <row r="20" spans="1:7" x14ac:dyDescent="0.25">
      <c r="A20" s="15" t="s">
        <v>15</v>
      </c>
      <c r="B20" s="16">
        <v>11154544</v>
      </c>
      <c r="C20" s="16">
        <v>3333139</v>
      </c>
      <c r="D20" s="16">
        <v>2867234.69</v>
      </c>
      <c r="E20" s="16">
        <v>2867234.69</v>
      </c>
      <c r="F20" s="17">
        <f t="shared" si="0"/>
        <v>0.86022055785852314</v>
      </c>
      <c r="G20" s="17">
        <f t="shared" si="1"/>
        <v>0.25704633824565126</v>
      </c>
    </row>
    <row r="21" spans="1:7" x14ac:dyDescent="0.25">
      <c r="A21" s="15" t="s">
        <v>16</v>
      </c>
      <c r="B21" s="16">
        <v>1407400</v>
      </c>
      <c r="C21" s="16">
        <v>351849</v>
      </c>
      <c r="D21" s="16">
        <v>46315.8</v>
      </c>
      <c r="E21" s="16">
        <v>30835.8</v>
      </c>
      <c r="F21" s="17">
        <f t="shared" si="0"/>
        <v>0.13163544588729825</v>
      </c>
      <c r="G21" s="17">
        <f t="shared" si="1"/>
        <v>3.2908767940883904E-2</v>
      </c>
    </row>
    <row r="22" spans="1:7" x14ac:dyDescent="0.25">
      <c r="A22" s="15" t="s">
        <v>17</v>
      </c>
      <c r="B22" s="16">
        <v>2043264</v>
      </c>
      <c r="C22" s="16">
        <v>510816</v>
      </c>
      <c r="D22" s="16">
        <v>316090.71999999997</v>
      </c>
      <c r="E22" s="16">
        <v>279490.71999999997</v>
      </c>
      <c r="F22" s="17">
        <f t="shared" si="0"/>
        <v>0.61879565244628199</v>
      </c>
      <c r="G22" s="17">
        <f t="shared" si="1"/>
        <v>0.1546989131115705</v>
      </c>
    </row>
    <row r="23" spans="1:7" x14ac:dyDescent="0.25">
      <c r="A23" s="15" t="s">
        <v>18</v>
      </c>
      <c r="B23" s="16">
        <v>1310024</v>
      </c>
      <c r="C23" s="16">
        <v>726465</v>
      </c>
      <c r="D23" s="16">
        <v>161593.20000000001</v>
      </c>
      <c r="E23" s="16">
        <v>161593.20000000001</v>
      </c>
      <c r="F23" s="17">
        <f t="shared" si="0"/>
        <v>0.22243769486485929</v>
      </c>
      <c r="G23" s="17">
        <f t="shared" si="1"/>
        <v>0.1233513279146031</v>
      </c>
    </row>
    <row r="24" spans="1:7" x14ac:dyDescent="0.25">
      <c r="A24" s="15" t="s">
        <v>19</v>
      </c>
      <c r="B24" s="16">
        <v>189625</v>
      </c>
      <c r="C24" s="16">
        <v>45972</v>
      </c>
      <c r="D24" s="16">
        <v>21029.43</v>
      </c>
      <c r="E24" s="16">
        <v>21029.43</v>
      </c>
      <c r="F24" s="17">
        <f t="shared" si="0"/>
        <v>0.45743996345601673</v>
      </c>
      <c r="G24" s="17">
        <f t="shared" si="1"/>
        <v>0.11090009228740937</v>
      </c>
    </row>
    <row r="25" spans="1:7" x14ac:dyDescent="0.25">
      <c r="A25" s="15" t="s">
        <v>20</v>
      </c>
      <c r="B25" s="16">
        <v>1688667</v>
      </c>
      <c r="C25" s="16">
        <v>431167</v>
      </c>
      <c r="D25" s="16">
        <v>121967.32</v>
      </c>
      <c r="E25" s="16">
        <v>121967.32</v>
      </c>
      <c r="F25" s="17">
        <f t="shared" si="0"/>
        <v>0.28287721462913445</v>
      </c>
      <c r="G25" s="17">
        <f t="shared" si="1"/>
        <v>7.2226981400122112E-2</v>
      </c>
    </row>
    <row r="26" spans="1:7" ht="24" x14ac:dyDescent="0.25">
      <c r="A26" s="15" t="s">
        <v>21</v>
      </c>
      <c r="B26" s="16">
        <v>7200</v>
      </c>
      <c r="C26" s="18"/>
      <c r="D26" s="18"/>
      <c r="E26" s="18"/>
      <c r="F26" s="17"/>
      <c r="G26" s="17">
        <f t="shared" si="1"/>
        <v>0</v>
      </c>
    </row>
    <row r="27" spans="1:7" x14ac:dyDescent="0.25">
      <c r="A27" s="15" t="s">
        <v>23</v>
      </c>
      <c r="B27" s="16">
        <v>66000</v>
      </c>
      <c r="C27" s="16">
        <v>16500</v>
      </c>
      <c r="D27" s="16">
        <v>8322.4</v>
      </c>
      <c r="E27" s="16">
        <v>8322.4</v>
      </c>
      <c r="F27" s="17">
        <f t="shared" si="0"/>
        <v>0.50438787878787872</v>
      </c>
      <c r="G27" s="17">
        <f t="shared" si="1"/>
        <v>0.12609696969696968</v>
      </c>
    </row>
    <row r="28" spans="1:7" ht="24" x14ac:dyDescent="0.25">
      <c r="A28" s="13" t="s">
        <v>24</v>
      </c>
      <c r="B28" s="14">
        <v>8106801</v>
      </c>
      <c r="C28" s="14">
        <v>2425353</v>
      </c>
      <c r="D28" s="14">
        <v>2241059.8199999998</v>
      </c>
      <c r="E28" s="14">
        <v>2193062.2200000002</v>
      </c>
      <c r="F28" s="12">
        <f t="shared" si="0"/>
        <v>0.92401387344440167</v>
      </c>
      <c r="G28" s="12">
        <f t="shared" si="1"/>
        <v>0.27644194300563191</v>
      </c>
    </row>
    <row r="29" spans="1:7" x14ac:dyDescent="0.25">
      <c r="A29" s="15" t="s">
        <v>14</v>
      </c>
      <c r="B29" s="16">
        <v>6265645</v>
      </c>
      <c r="C29" s="16">
        <v>1870945</v>
      </c>
      <c r="D29" s="16">
        <v>1757420.83</v>
      </c>
      <c r="E29" s="16">
        <v>1757420.83</v>
      </c>
      <c r="F29" s="17">
        <f t="shared" si="0"/>
        <v>0.93932255090342054</v>
      </c>
      <c r="G29" s="17">
        <f t="shared" si="1"/>
        <v>0.28048522219180949</v>
      </c>
    </row>
    <row r="30" spans="1:7" x14ac:dyDescent="0.25">
      <c r="A30" s="15" t="s">
        <v>15</v>
      </c>
      <c r="B30" s="16">
        <v>1378442</v>
      </c>
      <c r="C30" s="16">
        <v>411608</v>
      </c>
      <c r="D30" s="16">
        <v>387540.79</v>
      </c>
      <c r="E30" s="16">
        <v>387540.79</v>
      </c>
      <c r="F30" s="17">
        <f t="shared" si="0"/>
        <v>0.94152880896386848</v>
      </c>
      <c r="G30" s="17">
        <f t="shared" si="1"/>
        <v>0.28114406699737821</v>
      </c>
    </row>
    <row r="31" spans="1:7" x14ac:dyDescent="0.25">
      <c r="A31" s="15" t="s">
        <v>16</v>
      </c>
      <c r="B31" s="16">
        <v>144600</v>
      </c>
      <c r="C31" s="16">
        <v>48000</v>
      </c>
      <c r="D31" s="16">
        <v>47997.599999999999</v>
      </c>
      <c r="E31" s="18"/>
      <c r="F31" s="17">
        <f t="shared" si="0"/>
        <v>0.99995000000000001</v>
      </c>
      <c r="G31" s="17">
        <f t="shared" si="1"/>
        <v>0.33193360995850624</v>
      </c>
    </row>
    <row r="32" spans="1:7" x14ac:dyDescent="0.25">
      <c r="A32" s="15" t="s">
        <v>17</v>
      </c>
      <c r="B32" s="16">
        <v>165200</v>
      </c>
      <c r="C32" s="16">
        <v>40000</v>
      </c>
      <c r="D32" s="16">
        <v>18808.28</v>
      </c>
      <c r="E32" s="16">
        <v>18808.28</v>
      </c>
      <c r="F32" s="17">
        <f t="shared" si="0"/>
        <v>0.47020699999999999</v>
      </c>
      <c r="G32" s="17">
        <f t="shared" si="1"/>
        <v>0.11385157384987893</v>
      </c>
    </row>
    <row r="33" spans="1:7" x14ac:dyDescent="0.25">
      <c r="A33" s="15" t="s">
        <v>18</v>
      </c>
      <c r="B33" s="16">
        <v>49895</v>
      </c>
      <c r="C33" s="16">
        <v>26400</v>
      </c>
      <c r="D33" s="16">
        <v>17369.080000000002</v>
      </c>
      <c r="E33" s="16">
        <v>17369.080000000002</v>
      </c>
      <c r="F33" s="17">
        <f t="shared" si="0"/>
        <v>0.65791969696969699</v>
      </c>
      <c r="G33" s="17">
        <f t="shared" si="1"/>
        <v>0.34811263653672714</v>
      </c>
    </row>
    <row r="34" spans="1:7" x14ac:dyDescent="0.25">
      <c r="A34" s="15" t="s">
        <v>19</v>
      </c>
      <c r="B34" s="16">
        <v>20957</v>
      </c>
      <c r="C34" s="16">
        <v>4600</v>
      </c>
      <c r="D34" s="16">
        <v>2189.6799999999998</v>
      </c>
      <c r="E34" s="16">
        <v>2189.6799999999998</v>
      </c>
      <c r="F34" s="17">
        <f t="shared" si="0"/>
        <v>0.47601739130434778</v>
      </c>
      <c r="G34" s="17">
        <f t="shared" si="1"/>
        <v>0.10448442048003054</v>
      </c>
    </row>
    <row r="35" spans="1:7" x14ac:dyDescent="0.25">
      <c r="A35" s="15" t="s">
        <v>20</v>
      </c>
      <c r="B35" s="16">
        <v>75262</v>
      </c>
      <c r="C35" s="16">
        <v>19000</v>
      </c>
      <c r="D35" s="16">
        <v>9733.56</v>
      </c>
      <c r="E35" s="16">
        <v>9733.56</v>
      </c>
      <c r="F35" s="17">
        <f t="shared" si="0"/>
        <v>0.51229263157894733</v>
      </c>
      <c r="G35" s="17">
        <f t="shared" si="1"/>
        <v>0.129329010656108</v>
      </c>
    </row>
    <row r="36" spans="1:7" ht="24" x14ac:dyDescent="0.25">
      <c r="A36" s="15" t="s">
        <v>21</v>
      </c>
      <c r="B36" s="16">
        <v>6800</v>
      </c>
      <c r="C36" s="16">
        <v>4800</v>
      </c>
      <c r="D36" s="18"/>
      <c r="E36" s="18"/>
      <c r="F36" s="17">
        <f t="shared" si="0"/>
        <v>0</v>
      </c>
      <c r="G36" s="17">
        <f t="shared" si="1"/>
        <v>0</v>
      </c>
    </row>
    <row r="37" spans="1:7" ht="24" x14ac:dyDescent="0.25">
      <c r="A37" s="13" t="s">
        <v>25</v>
      </c>
      <c r="B37" s="14">
        <v>42608478</v>
      </c>
      <c r="C37" s="14">
        <v>12409123</v>
      </c>
      <c r="D37" s="14">
        <v>11550376.689999999</v>
      </c>
      <c r="E37" s="14">
        <v>11550376.689999999</v>
      </c>
      <c r="F37" s="12">
        <f t="shared" si="0"/>
        <v>0.93079717962341091</v>
      </c>
      <c r="G37" s="12">
        <f t="shared" si="1"/>
        <v>0.27108165398444883</v>
      </c>
    </row>
    <row r="38" spans="1:7" x14ac:dyDescent="0.25">
      <c r="A38" s="15" t="s">
        <v>14</v>
      </c>
      <c r="B38" s="16">
        <v>32973630</v>
      </c>
      <c r="C38" s="16">
        <v>9573630</v>
      </c>
      <c r="D38" s="16">
        <v>9195034.6899999995</v>
      </c>
      <c r="E38" s="16">
        <v>9195034.6899999995</v>
      </c>
      <c r="F38" s="17">
        <f t="shared" si="0"/>
        <v>0.96045436161623121</v>
      </c>
      <c r="G38" s="17">
        <f t="shared" si="1"/>
        <v>0.27886024953879812</v>
      </c>
    </row>
    <row r="39" spans="1:7" x14ac:dyDescent="0.25">
      <c r="A39" s="15" t="s">
        <v>15</v>
      </c>
      <c r="B39" s="16">
        <v>7254198</v>
      </c>
      <c r="C39" s="16">
        <v>2106198</v>
      </c>
      <c r="D39" s="16">
        <v>1888316.97</v>
      </c>
      <c r="E39" s="16">
        <v>1888316.97</v>
      </c>
      <c r="F39" s="17">
        <f t="shared" si="0"/>
        <v>0.89655244663607125</v>
      </c>
      <c r="G39" s="17">
        <f t="shared" si="1"/>
        <v>0.26030678649796984</v>
      </c>
    </row>
    <row r="40" spans="1:7" x14ac:dyDescent="0.25">
      <c r="A40" s="15" t="s">
        <v>16</v>
      </c>
      <c r="B40" s="16">
        <v>720000</v>
      </c>
      <c r="C40" s="16">
        <v>180000</v>
      </c>
      <c r="D40" s="16">
        <v>179831.8</v>
      </c>
      <c r="E40" s="16">
        <v>179831.8</v>
      </c>
      <c r="F40" s="17">
        <f t="shared" si="0"/>
        <v>0.99906555555555554</v>
      </c>
      <c r="G40" s="17">
        <f t="shared" si="1"/>
        <v>0.24976638888888889</v>
      </c>
    </row>
    <row r="41" spans="1:7" x14ac:dyDescent="0.25">
      <c r="A41" s="15" t="s">
        <v>17</v>
      </c>
      <c r="B41" s="16">
        <v>476200</v>
      </c>
      <c r="C41" s="16">
        <v>120000</v>
      </c>
      <c r="D41" s="16">
        <v>44842.15</v>
      </c>
      <c r="E41" s="16">
        <v>44842.15</v>
      </c>
      <c r="F41" s="17">
        <f t="shared" si="0"/>
        <v>0.37368458333333332</v>
      </c>
      <c r="G41" s="17">
        <f t="shared" si="1"/>
        <v>9.4166631667366663E-2</v>
      </c>
    </row>
    <row r="42" spans="1:7" x14ac:dyDescent="0.25">
      <c r="A42" s="15" t="s">
        <v>26</v>
      </c>
      <c r="B42" s="16">
        <v>18000</v>
      </c>
      <c r="C42" s="16">
        <v>4500</v>
      </c>
      <c r="D42" s="16">
        <v>3760</v>
      </c>
      <c r="E42" s="16">
        <v>3760</v>
      </c>
      <c r="F42" s="17">
        <f t="shared" si="0"/>
        <v>0.83555555555555561</v>
      </c>
      <c r="G42" s="17">
        <f t="shared" si="1"/>
        <v>0.2088888888888889</v>
      </c>
    </row>
    <row r="43" spans="1:7" x14ac:dyDescent="0.25">
      <c r="A43" s="15" t="s">
        <v>18</v>
      </c>
      <c r="B43" s="16">
        <v>701810</v>
      </c>
      <c r="C43" s="16">
        <v>323546</v>
      </c>
      <c r="D43" s="16">
        <v>185603.32</v>
      </c>
      <c r="E43" s="16">
        <v>185603.32</v>
      </c>
      <c r="F43" s="17">
        <f t="shared" si="0"/>
        <v>0.5736535763075421</v>
      </c>
      <c r="G43" s="17">
        <f t="shared" si="1"/>
        <v>0.2644637722460495</v>
      </c>
    </row>
    <row r="44" spans="1:7" x14ac:dyDescent="0.25">
      <c r="A44" s="15" t="s">
        <v>19</v>
      </c>
      <c r="B44" s="16">
        <v>24175</v>
      </c>
      <c r="C44" s="16">
        <v>6728</v>
      </c>
      <c r="D44" s="16">
        <v>4453.84</v>
      </c>
      <c r="E44" s="16">
        <v>4453.84</v>
      </c>
      <c r="F44" s="17">
        <f t="shared" si="0"/>
        <v>0.66198573127229488</v>
      </c>
      <c r="G44" s="17">
        <f t="shared" si="1"/>
        <v>0.18423329886246123</v>
      </c>
    </row>
    <row r="45" spans="1:7" x14ac:dyDescent="0.25">
      <c r="A45" s="15" t="s">
        <v>20</v>
      </c>
      <c r="B45" s="16">
        <v>344465</v>
      </c>
      <c r="C45" s="16">
        <v>70521</v>
      </c>
      <c r="D45" s="16">
        <v>39449.919999999998</v>
      </c>
      <c r="E45" s="16">
        <v>39449.919999999998</v>
      </c>
      <c r="F45" s="17">
        <f t="shared" si="0"/>
        <v>0.55940670154989292</v>
      </c>
      <c r="G45" s="17">
        <f t="shared" si="1"/>
        <v>0.11452519123858737</v>
      </c>
    </row>
    <row r="46" spans="1:7" x14ac:dyDescent="0.25">
      <c r="A46" s="15" t="s">
        <v>23</v>
      </c>
      <c r="B46" s="16">
        <v>96000</v>
      </c>
      <c r="C46" s="16">
        <v>24000</v>
      </c>
      <c r="D46" s="16">
        <v>9084</v>
      </c>
      <c r="E46" s="16">
        <v>9084</v>
      </c>
      <c r="F46" s="17">
        <f t="shared" si="0"/>
        <v>0.3785</v>
      </c>
      <c r="G46" s="17">
        <f t="shared" si="1"/>
        <v>9.4625000000000001E-2</v>
      </c>
    </row>
    <row r="47" spans="1:7" ht="24" x14ac:dyDescent="0.25">
      <c r="A47" s="13" t="s">
        <v>27</v>
      </c>
      <c r="B47" s="14">
        <v>9081917</v>
      </c>
      <c r="C47" s="14">
        <v>2747388</v>
      </c>
      <c r="D47" s="14">
        <v>2315047.85</v>
      </c>
      <c r="E47" s="14">
        <v>2287302.0499999998</v>
      </c>
      <c r="F47" s="12">
        <f t="shared" si="0"/>
        <v>0.84263593274775894</v>
      </c>
      <c r="G47" s="12">
        <f t="shared" si="1"/>
        <v>0.25490740005661799</v>
      </c>
    </row>
    <row r="48" spans="1:7" x14ac:dyDescent="0.25">
      <c r="A48" s="15" t="s">
        <v>14</v>
      </c>
      <c r="B48" s="16">
        <v>6894323</v>
      </c>
      <c r="C48" s="16">
        <v>2091023</v>
      </c>
      <c r="D48" s="16">
        <v>1798199.39</v>
      </c>
      <c r="E48" s="16">
        <v>1798199.39</v>
      </c>
      <c r="F48" s="17">
        <f t="shared" si="0"/>
        <v>0.85996155470312852</v>
      </c>
      <c r="G48" s="17">
        <f t="shared" si="1"/>
        <v>0.26082320047958296</v>
      </c>
    </row>
    <row r="49" spans="1:7" x14ac:dyDescent="0.25">
      <c r="A49" s="15" t="s">
        <v>15</v>
      </c>
      <c r="B49" s="16">
        <v>1516751</v>
      </c>
      <c r="C49" s="16">
        <v>460025</v>
      </c>
      <c r="D49" s="16">
        <v>401119.85</v>
      </c>
      <c r="E49" s="16">
        <v>401119.85</v>
      </c>
      <c r="F49" s="17">
        <f t="shared" si="0"/>
        <v>0.87195228520189116</v>
      </c>
      <c r="G49" s="17">
        <f t="shared" si="1"/>
        <v>0.26445992123954426</v>
      </c>
    </row>
    <row r="50" spans="1:7" x14ac:dyDescent="0.25">
      <c r="A50" s="15" t="s">
        <v>16</v>
      </c>
      <c r="B50" s="16">
        <v>125000</v>
      </c>
      <c r="C50" s="16">
        <v>55000</v>
      </c>
      <c r="D50" s="16">
        <v>50725.8</v>
      </c>
      <c r="E50" s="16">
        <v>22980</v>
      </c>
      <c r="F50" s="17">
        <f t="shared" si="0"/>
        <v>0.92228727272727273</v>
      </c>
      <c r="G50" s="17">
        <f t="shared" si="1"/>
        <v>0.40580640000000001</v>
      </c>
    </row>
    <row r="51" spans="1:7" x14ac:dyDescent="0.25">
      <c r="A51" s="15" t="s">
        <v>17</v>
      </c>
      <c r="B51" s="16">
        <v>330700</v>
      </c>
      <c r="C51" s="16">
        <v>68925</v>
      </c>
      <c r="D51" s="16">
        <v>22162.89</v>
      </c>
      <c r="E51" s="16">
        <v>22162.89</v>
      </c>
      <c r="F51" s="17">
        <f t="shared" si="0"/>
        <v>0.32155081610446135</v>
      </c>
      <c r="G51" s="17">
        <f t="shared" si="1"/>
        <v>6.7018113093438164E-2</v>
      </c>
    </row>
    <row r="52" spans="1:7" x14ac:dyDescent="0.25">
      <c r="A52" s="15" t="s">
        <v>18</v>
      </c>
      <c r="B52" s="16">
        <v>62568</v>
      </c>
      <c r="C52" s="16">
        <v>34776</v>
      </c>
      <c r="D52" s="16">
        <v>22832.83</v>
      </c>
      <c r="E52" s="16">
        <v>22832.83</v>
      </c>
      <c r="F52" s="17">
        <f t="shared" si="0"/>
        <v>0.65656861053600191</v>
      </c>
      <c r="G52" s="17">
        <f t="shared" si="1"/>
        <v>0.36492823807697228</v>
      </c>
    </row>
    <row r="53" spans="1:7" x14ac:dyDescent="0.25">
      <c r="A53" s="15" t="s">
        <v>19</v>
      </c>
      <c r="B53" s="16">
        <v>16615</v>
      </c>
      <c r="C53" s="16">
        <v>3649</v>
      </c>
      <c r="D53" s="16">
        <v>2419.85</v>
      </c>
      <c r="E53" s="16">
        <v>2419.85</v>
      </c>
      <c r="F53" s="17">
        <f t="shared" si="0"/>
        <v>0.66315428884625927</v>
      </c>
      <c r="G53" s="17">
        <f t="shared" si="1"/>
        <v>0.14564249172434546</v>
      </c>
    </row>
    <row r="54" spans="1:7" x14ac:dyDescent="0.25">
      <c r="A54" s="15" t="s">
        <v>20</v>
      </c>
      <c r="B54" s="16">
        <v>135960</v>
      </c>
      <c r="C54" s="16">
        <v>33990</v>
      </c>
      <c r="D54" s="16">
        <v>17587.240000000002</v>
      </c>
      <c r="E54" s="16">
        <v>17587.240000000002</v>
      </c>
      <c r="F54" s="17">
        <f t="shared" si="0"/>
        <v>0.51742394822006477</v>
      </c>
      <c r="G54" s="17">
        <f t="shared" si="1"/>
        <v>0.12935598705501619</v>
      </c>
    </row>
    <row r="55" spans="1:7" ht="24" x14ac:dyDescent="0.25">
      <c r="A55" s="13" t="s">
        <v>28</v>
      </c>
      <c r="B55" s="14">
        <v>3131636</v>
      </c>
      <c r="C55" s="14">
        <v>838715</v>
      </c>
      <c r="D55" s="14">
        <v>765412.94</v>
      </c>
      <c r="E55" s="14">
        <v>765412.94</v>
      </c>
      <c r="F55" s="12">
        <f t="shared" si="0"/>
        <v>0.91260194464150513</v>
      </c>
      <c r="G55" s="12">
        <f t="shared" si="1"/>
        <v>0.24441312464156115</v>
      </c>
    </row>
    <row r="56" spans="1:7" x14ac:dyDescent="0.25">
      <c r="A56" s="15" t="s">
        <v>14</v>
      </c>
      <c r="B56" s="16">
        <v>2388381</v>
      </c>
      <c r="C56" s="16">
        <v>652281</v>
      </c>
      <c r="D56" s="16">
        <v>602660.49</v>
      </c>
      <c r="E56" s="16">
        <v>602660.49</v>
      </c>
      <c r="F56" s="17">
        <f t="shared" si="0"/>
        <v>0.92392770907017063</v>
      </c>
      <c r="G56" s="17">
        <f t="shared" si="1"/>
        <v>0.2523301307454715</v>
      </c>
    </row>
    <row r="57" spans="1:7" x14ac:dyDescent="0.25">
      <c r="A57" s="15" t="s">
        <v>15</v>
      </c>
      <c r="B57" s="16">
        <v>525444</v>
      </c>
      <c r="C57" s="16">
        <v>143502</v>
      </c>
      <c r="D57" s="16">
        <v>132585.29999999999</v>
      </c>
      <c r="E57" s="16">
        <v>132585.29999999999</v>
      </c>
      <c r="F57" s="17">
        <f t="shared" si="0"/>
        <v>0.92392649579796793</v>
      </c>
      <c r="G57" s="17">
        <f t="shared" si="1"/>
        <v>0.25233002946079885</v>
      </c>
    </row>
    <row r="58" spans="1:7" x14ac:dyDescent="0.25">
      <c r="A58" s="15" t="s">
        <v>16</v>
      </c>
      <c r="B58" s="16">
        <v>59600</v>
      </c>
      <c r="C58" s="18"/>
      <c r="D58" s="18"/>
      <c r="E58" s="18"/>
      <c r="F58" s="17"/>
      <c r="G58" s="17">
        <f t="shared" si="1"/>
        <v>0</v>
      </c>
    </row>
    <row r="59" spans="1:7" x14ac:dyDescent="0.25">
      <c r="A59" s="15" t="s">
        <v>17</v>
      </c>
      <c r="B59" s="16">
        <v>78522</v>
      </c>
      <c r="C59" s="16">
        <v>18776</v>
      </c>
      <c r="D59" s="16">
        <v>13525.4</v>
      </c>
      <c r="E59" s="16">
        <v>13525.4</v>
      </c>
      <c r="F59" s="17">
        <f t="shared" si="0"/>
        <v>0.72035577332765233</v>
      </c>
      <c r="G59" s="17">
        <f t="shared" si="1"/>
        <v>0.17224981533837649</v>
      </c>
    </row>
    <row r="60" spans="1:7" x14ac:dyDescent="0.25">
      <c r="A60" s="15" t="s">
        <v>18</v>
      </c>
      <c r="B60" s="16">
        <v>19958</v>
      </c>
      <c r="C60" s="16">
        <v>11725</v>
      </c>
      <c r="D60" s="16">
        <v>10303.24</v>
      </c>
      <c r="E60" s="16">
        <v>10303.24</v>
      </c>
      <c r="F60" s="17">
        <f t="shared" si="0"/>
        <v>0.87874115138592745</v>
      </c>
      <c r="G60" s="17">
        <f t="shared" si="1"/>
        <v>0.51624611684537525</v>
      </c>
    </row>
    <row r="61" spans="1:7" x14ac:dyDescent="0.25">
      <c r="A61" s="15" t="s">
        <v>19</v>
      </c>
      <c r="B61" s="16">
        <v>3416</v>
      </c>
      <c r="C61" s="19">
        <v>870</v>
      </c>
      <c r="D61" s="19">
        <v>269.31</v>
      </c>
      <c r="E61" s="19">
        <v>269.31</v>
      </c>
      <c r="F61" s="17">
        <f t="shared" si="0"/>
        <v>0.30955172413793103</v>
      </c>
      <c r="G61" s="17">
        <f t="shared" si="1"/>
        <v>7.8837822014051526E-2</v>
      </c>
    </row>
    <row r="62" spans="1:7" x14ac:dyDescent="0.25">
      <c r="A62" s="15" t="s">
        <v>20</v>
      </c>
      <c r="B62" s="16">
        <v>40315</v>
      </c>
      <c r="C62" s="16">
        <v>11561</v>
      </c>
      <c r="D62" s="16">
        <v>6069.2</v>
      </c>
      <c r="E62" s="16">
        <v>6069.2</v>
      </c>
      <c r="F62" s="17">
        <f t="shared" si="0"/>
        <v>0.52497188824496144</v>
      </c>
      <c r="G62" s="17">
        <f t="shared" si="1"/>
        <v>0.15054446235892346</v>
      </c>
    </row>
    <row r="63" spans="1:7" ht="24" x14ac:dyDescent="0.25">
      <c r="A63" s="15" t="s">
        <v>21</v>
      </c>
      <c r="B63" s="16">
        <v>16000</v>
      </c>
      <c r="C63" s="18"/>
      <c r="D63" s="18"/>
      <c r="E63" s="18"/>
      <c r="F63" s="17"/>
      <c r="G63" s="17">
        <f t="shared" si="1"/>
        <v>0</v>
      </c>
    </row>
    <row r="64" spans="1:7" ht="24" x14ac:dyDescent="0.25">
      <c r="A64" s="13" t="s">
        <v>29</v>
      </c>
      <c r="B64" s="14">
        <v>14599526</v>
      </c>
      <c r="C64" s="14">
        <v>4038334</v>
      </c>
      <c r="D64" s="14">
        <v>3211923.12</v>
      </c>
      <c r="E64" s="14">
        <v>3211923.12</v>
      </c>
      <c r="F64" s="12">
        <f t="shared" si="0"/>
        <v>0.79535846217771988</v>
      </c>
      <c r="G64" s="12">
        <f t="shared" si="1"/>
        <v>0.22000187677325964</v>
      </c>
    </row>
    <row r="65" spans="1:7" x14ac:dyDescent="0.25">
      <c r="A65" s="15" t="s">
        <v>14</v>
      </c>
      <c r="B65" s="16">
        <v>11953710</v>
      </c>
      <c r="C65" s="16">
        <v>3310110</v>
      </c>
      <c r="D65" s="16">
        <v>2641691.83</v>
      </c>
      <c r="E65" s="16">
        <v>2641691.83</v>
      </c>
      <c r="F65" s="17">
        <f t="shared" si="0"/>
        <v>0.79806768657234961</v>
      </c>
      <c r="G65" s="17">
        <f t="shared" si="1"/>
        <v>0.22099346813667053</v>
      </c>
    </row>
    <row r="66" spans="1:7" x14ac:dyDescent="0.25">
      <c r="A66" s="15" t="s">
        <v>15</v>
      </c>
      <c r="B66" s="16">
        <v>2629816</v>
      </c>
      <c r="C66" s="16">
        <v>728224</v>
      </c>
      <c r="D66" s="16">
        <v>570231.29</v>
      </c>
      <c r="E66" s="16">
        <v>570231.29</v>
      </c>
      <c r="F66" s="17">
        <f t="shared" si="0"/>
        <v>0.78304380245638705</v>
      </c>
      <c r="G66" s="17">
        <f t="shared" si="1"/>
        <v>0.21683315106456119</v>
      </c>
    </row>
    <row r="67" spans="1:7" x14ac:dyDescent="0.25">
      <c r="A67" s="15" t="s">
        <v>16</v>
      </c>
      <c r="B67" s="16">
        <v>16000</v>
      </c>
      <c r="C67" s="18"/>
      <c r="D67" s="18"/>
      <c r="E67" s="18"/>
      <c r="F67" s="17"/>
      <c r="G67" s="17">
        <f t="shared" si="1"/>
        <v>0</v>
      </c>
    </row>
    <row r="68" spans="1:7" ht="24" x14ac:dyDescent="0.25">
      <c r="A68" s="13" t="s">
        <v>30</v>
      </c>
      <c r="B68" s="14">
        <v>15366221</v>
      </c>
      <c r="C68" s="14">
        <v>4772117</v>
      </c>
      <c r="D68" s="14">
        <v>3700951.11</v>
      </c>
      <c r="E68" s="14">
        <v>3700060.11</v>
      </c>
      <c r="F68" s="12">
        <f t="shared" si="0"/>
        <v>0.77553654070090905</v>
      </c>
      <c r="G68" s="12">
        <f t="shared" si="1"/>
        <v>0.24084979058937131</v>
      </c>
    </row>
    <row r="69" spans="1:7" x14ac:dyDescent="0.25">
      <c r="A69" s="15" t="s">
        <v>14</v>
      </c>
      <c r="B69" s="16">
        <v>10685910</v>
      </c>
      <c r="C69" s="16">
        <v>3192870</v>
      </c>
      <c r="D69" s="16">
        <v>2749089.74</v>
      </c>
      <c r="E69" s="16">
        <v>2749089.74</v>
      </c>
      <c r="F69" s="17">
        <f t="shared" si="0"/>
        <v>0.86100897938218601</v>
      </c>
      <c r="G69" s="17">
        <f t="shared" si="1"/>
        <v>0.25726304451375692</v>
      </c>
    </row>
    <row r="70" spans="1:7" x14ac:dyDescent="0.25">
      <c r="A70" s="15" t="s">
        <v>15</v>
      </c>
      <c r="B70" s="16">
        <v>2350900</v>
      </c>
      <c r="C70" s="16">
        <v>702433</v>
      </c>
      <c r="D70" s="16">
        <v>608728.68000000005</v>
      </c>
      <c r="E70" s="16">
        <v>608728.68000000005</v>
      </c>
      <c r="F70" s="17">
        <f t="shared" ref="F70:F133" si="2">D70/C70</f>
        <v>0.86660034480156833</v>
      </c>
      <c r="G70" s="17">
        <f t="shared" ref="G70:G133" si="3">D70/B70</f>
        <v>0.25893431451784427</v>
      </c>
    </row>
    <row r="71" spans="1:7" x14ac:dyDescent="0.25">
      <c r="A71" s="15" t="s">
        <v>16</v>
      </c>
      <c r="B71" s="16">
        <v>343109</v>
      </c>
      <c r="C71" s="16">
        <v>92504</v>
      </c>
      <c r="D71" s="16">
        <v>87939.24</v>
      </c>
      <c r="E71" s="16">
        <v>87939.24</v>
      </c>
      <c r="F71" s="17">
        <f t="shared" si="2"/>
        <v>0.95065337715125842</v>
      </c>
      <c r="G71" s="17">
        <f t="shared" si="3"/>
        <v>0.25630117542821673</v>
      </c>
    </row>
    <row r="72" spans="1:7" x14ac:dyDescent="0.25">
      <c r="A72" s="15" t="s">
        <v>17</v>
      </c>
      <c r="B72" s="16">
        <v>700000</v>
      </c>
      <c r="C72" s="16">
        <v>228670</v>
      </c>
      <c r="D72" s="16">
        <v>138245.70000000001</v>
      </c>
      <c r="E72" s="16">
        <v>137354.70000000001</v>
      </c>
      <c r="F72" s="17">
        <f t="shared" si="2"/>
        <v>0.60456421918047842</v>
      </c>
      <c r="G72" s="17">
        <f t="shared" si="3"/>
        <v>0.19749385714285717</v>
      </c>
    </row>
    <row r="73" spans="1:7" x14ac:dyDescent="0.25">
      <c r="A73" s="15" t="s">
        <v>18</v>
      </c>
      <c r="B73" s="16">
        <v>666093</v>
      </c>
      <c r="C73" s="16">
        <v>381943</v>
      </c>
      <c r="D73" s="16">
        <v>95774.51</v>
      </c>
      <c r="E73" s="16">
        <v>95774.51</v>
      </c>
      <c r="F73" s="17">
        <f t="shared" si="2"/>
        <v>0.25075602904098254</v>
      </c>
      <c r="G73" s="17">
        <f t="shared" si="3"/>
        <v>0.14378549241622415</v>
      </c>
    </row>
    <row r="74" spans="1:7" x14ac:dyDescent="0.25">
      <c r="A74" s="15" t="s">
        <v>19</v>
      </c>
      <c r="B74" s="16">
        <v>63114</v>
      </c>
      <c r="C74" s="16">
        <v>19741</v>
      </c>
      <c r="D74" s="16">
        <v>1616.01</v>
      </c>
      <c r="E74" s="16">
        <v>1616.01</v>
      </c>
      <c r="F74" s="17">
        <f t="shared" si="2"/>
        <v>8.1860594701382905E-2</v>
      </c>
      <c r="G74" s="17">
        <f t="shared" si="3"/>
        <v>2.5604620211046678E-2</v>
      </c>
    </row>
    <row r="75" spans="1:7" x14ac:dyDescent="0.25">
      <c r="A75" s="15" t="s">
        <v>20</v>
      </c>
      <c r="B75" s="16">
        <v>557095</v>
      </c>
      <c r="C75" s="16">
        <v>153956</v>
      </c>
      <c r="D75" s="16">
        <v>19557.23</v>
      </c>
      <c r="E75" s="16">
        <v>19557.23</v>
      </c>
      <c r="F75" s="17">
        <f t="shared" si="2"/>
        <v>0.12703129465561588</v>
      </c>
      <c r="G75" s="17">
        <f t="shared" si="3"/>
        <v>3.510573600552868E-2</v>
      </c>
    </row>
    <row r="76" spans="1:7" ht="24" x14ac:dyDescent="0.25">
      <c r="A76" s="13" t="s">
        <v>31</v>
      </c>
      <c r="B76" s="14">
        <v>3064280</v>
      </c>
      <c r="C76" s="14">
        <v>921904</v>
      </c>
      <c r="D76" s="14">
        <v>786820.67</v>
      </c>
      <c r="E76" s="14">
        <v>786820.67</v>
      </c>
      <c r="F76" s="12">
        <f t="shared" si="2"/>
        <v>0.85347353954424765</v>
      </c>
      <c r="G76" s="12">
        <f t="shared" si="3"/>
        <v>0.25677179304763276</v>
      </c>
    </row>
    <row r="77" spans="1:7" x14ac:dyDescent="0.25">
      <c r="A77" s="15" t="s">
        <v>14</v>
      </c>
      <c r="B77" s="16">
        <v>2395400</v>
      </c>
      <c r="C77" s="16">
        <v>712400</v>
      </c>
      <c r="D77" s="16">
        <v>630711.1</v>
      </c>
      <c r="E77" s="16">
        <v>630711.1</v>
      </c>
      <c r="F77" s="17">
        <f t="shared" si="2"/>
        <v>0.88533281864121272</v>
      </c>
      <c r="G77" s="17">
        <f t="shared" si="3"/>
        <v>0.26330095182432994</v>
      </c>
    </row>
    <row r="78" spans="1:7" x14ac:dyDescent="0.25">
      <c r="A78" s="15" t="s">
        <v>15</v>
      </c>
      <c r="B78" s="16">
        <v>526988</v>
      </c>
      <c r="C78" s="16">
        <v>156728</v>
      </c>
      <c r="D78" s="16">
        <v>138756.46</v>
      </c>
      <c r="E78" s="16">
        <v>138756.46</v>
      </c>
      <c r="F78" s="17">
        <f t="shared" si="2"/>
        <v>0.88533293348986775</v>
      </c>
      <c r="G78" s="17">
        <f t="shared" si="3"/>
        <v>0.26330098598070545</v>
      </c>
    </row>
    <row r="79" spans="1:7" x14ac:dyDescent="0.25">
      <c r="A79" s="15" t="s">
        <v>16</v>
      </c>
      <c r="B79" s="16">
        <v>51100</v>
      </c>
      <c r="C79" s="16">
        <v>20000</v>
      </c>
      <c r="D79" s="18"/>
      <c r="E79" s="18"/>
      <c r="F79" s="17">
        <f t="shared" si="2"/>
        <v>0</v>
      </c>
      <c r="G79" s="17">
        <f t="shared" si="3"/>
        <v>0</v>
      </c>
    </row>
    <row r="80" spans="1:7" x14ac:dyDescent="0.25">
      <c r="A80" s="15" t="s">
        <v>17</v>
      </c>
      <c r="B80" s="16">
        <v>35000</v>
      </c>
      <c r="C80" s="16">
        <v>12000</v>
      </c>
      <c r="D80" s="16">
        <v>6962.33</v>
      </c>
      <c r="E80" s="16">
        <v>6962.33</v>
      </c>
      <c r="F80" s="17">
        <f t="shared" si="2"/>
        <v>0.58019416666666668</v>
      </c>
      <c r="G80" s="17">
        <f t="shared" si="3"/>
        <v>0.19892371428571429</v>
      </c>
    </row>
    <row r="81" spans="1:7" x14ac:dyDescent="0.25">
      <c r="A81" s="15" t="s">
        <v>18</v>
      </c>
      <c r="B81" s="16">
        <v>22952</v>
      </c>
      <c r="C81" s="16">
        <v>12174</v>
      </c>
      <c r="D81" s="16">
        <v>6205.91</v>
      </c>
      <c r="E81" s="16">
        <v>6205.91</v>
      </c>
      <c r="F81" s="17">
        <f t="shared" si="2"/>
        <v>0.50976753737473302</v>
      </c>
      <c r="G81" s="17">
        <f t="shared" si="3"/>
        <v>0.27038645869640987</v>
      </c>
    </row>
    <row r="82" spans="1:7" x14ac:dyDescent="0.25">
      <c r="A82" s="15" t="s">
        <v>19</v>
      </c>
      <c r="B82" s="16">
        <v>2492</v>
      </c>
      <c r="C82" s="19">
        <v>640</v>
      </c>
      <c r="D82" s="19">
        <v>562.79999999999995</v>
      </c>
      <c r="E82" s="19">
        <v>562.79999999999995</v>
      </c>
      <c r="F82" s="17">
        <f t="shared" si="2"/>
        <v>0.87937499999999991</v>
      </c>
      <c r="G82" s="17">
        <f t="shared" si="3"/>
        <v>0.22584269662921347</v>
      </c>
    </row>
    <row r="83" spans="1:7" x14ac:dyDescent="0.25">
      <c r="A83" s="15" t="s">
        <v>20</v>
      </c>
      <c r="B83" s="16">
        <v>28500</v>
      </c>
      <c r="C83" s="16">
        <v>7500</v>
      </c>
      <c r="D83" s="16">
        <v>3160.08</v>
      </c>
      <c r="E83" s="16">
        <v>3160.08</v>
      </c>
      <c r="F83" s="17">
        <f t="shared" si="2"/>
        <v>0.421344</v>
      </c>
      <c r="G83" s="17">
        <f t="shared" si="3"/>
        <v>0.11087999999999999</v>
      </c>
    </row>
    <row r="84" spans="1:7" ht="24" x14ac:dyDescent="0.25">
      <c r="A84" s="15" t="s">
        <v>32</v>
      </c>
      <c r="B84" s="16">
        <v>1848</v>
      </c>
      <c r="C84" s="19">
        <v>462</v>
      </c>
      <c r="D84" s="19">
        <v>461.99</v>
      </c>
      <c r="E84" s="19">
        <v>461.99</v>
      </c>
      <c r="F84" s="17">
        <f t="shared" si="2"/>
        <v>0.99997835497835497</v>
      </c>
      <c r="G84" s="17">
        <f t="shared" si="3"/>
        <v>0.24999458874458874</v>
      </c>
    </row>
    <row r="85" spans="1:7" x14ac:dyDescent="0.25">
      <c r="A85" s="7" t="s">
        <v>33</v>
      </c>
      <c r="B85" s="8">
        <v>2913729010</v>
      </c>
      <c r="C85" s="8">
        <f>C86+C131+C190+C204+C227+C264+C268+C275+C312+C331+C342+C345+C364+C371+C390</f>
        <v>791776221</v>
      </c>
      <c r="D85" s="8">
        <v>691688846.26999998</v>
      </c>
      <c r="E85" s="8">
        <v>685154802.05999994</v>
      </c>
      <c r="F85" s="9">
        <f t="shared" si="2"/>
        <v>0.87359133543617751</v>
      </c>
      <c r="G85" s="9">
        <f t="shared" si="3"/>
        <v>0.237389559528736</v>
      </c>
    </row>
    <row r="86" spans="1:7" x14ac:dyDescent="0.25">
      <c r="A86" s="10" t="s">
        <v>34</v>
      </c>
      <c r="B86" s="11">
        <v>1026316045</v>
      </c>
      <c r="C86" s="11">
        <f>C87+C98+C109+C119</f>
        <v>246389397</v>
      </c>
      <c r="D86" s="11">
        <v>213628319.91</v>
      </c>
      <c r="E86" s="11">
        <v>211700016.22999999</v>
      </c>
      <c r="F86" s="12">
        <f t="shared" si="2"/>
        <v>0.8670353615500751</v>
      </c>
      <c r="G86" s="12">
        <f t="shared" si="3"/>
        <v>0.20815061885737154</v>
      </c>
    </row>
    <row r="87" spans="1:7" ht="24" x14ac:dyDescent="0.25">
      <c r="A87" s="13" t="s">
        <v>35</v>
      </c>
      <c r="B87" s="14">
        <v>10226421</v>
      </c>
      <c r="C87" s="14">
        <v>2135709</v>
      </c>
      <c r="D87" s="14">
        <v>1790231.41</v>
      </c>
      <c r="E87" s="14">
        <v>1790231.41</v>
      </c>
      <c r="F87" s="12">
        <f t="shared" si="2"/>
        <v>0.83823751737713326</v>
      </c>
      <c r="G87" s="12">
        <f t="shared" si="3"/>
        <v>0.17505942792693552</v>
      </c>
    </row>
    <row r="88" spans="1:7" x14ac:dyDescent="0.25">
      <c r="A88" s="15" t="s">
        <v>14</v>
      </c>
      <c r="B88" s="16">
        <v>7620180</v>
      </c>
      <c r="C88" s="16">
        <v>1512198</v>
      </c>
      <c r="D88" s="16">
        <v>1430775.83</v>
      </c>
      <c r="E88" s="16">
        <v>1430775.83</v>
      </c>
      <c r="F88" s="17">
        <f t="shared" si="2"/>
        <v>0.94615640941199508</v>
      </c>
      <c r="G88" s="17">
        <f t="shared" si="3"/>
        <v>0.18776142164620785</v>
      </c>
    </row>
    <row r="89" spans="1:7" x14ac:dyDescent="0.25">
      <c r="A89" s="15" t="s">
        <v>15</v>
      </c>
      <c r="B89" s="16">
        <v>1676438</v>
      </c>
      <c r="C89" s="16">
        <v>332682</v>
      </c>
      <c r="D89" s="16">
        <v>306168.52</v>
      </c>
      <c r="E89" s="16">
        <v>306168.52</v>
      </c>
      <c r="F89" s="17">
        <f t="shared" si="2"/>
        <v>0.9203038336910323</v>
      </c>
      <c r="G89" s="17">
        <f t="shared" si="3"/>
        <v>0.18263038656961963</v>
      </c>
    </row>
    <row r="90" spans="1:7" x14ac:dyDescent="0.25">
      <c r="A90" s="15" t="s">
        <v>16</v>
      </c>
      <c r="B90" s="16">
        <v>63995</v>
      </c>
      <c r="C90" s="16">
        <v>21686</v>
      </c>
      <c r="D90" s="18"/>
      <c r="E90" s="18"/>
      <c r="F90" s="17">
        <f t="shared" si="2"/>
        <v>0</v>
      </c>
      <c r="G90" s="17">
        <f t="shared" si="3"/>
        <v>0</v>
      </c>
    </row>
    <row r="91" spans="1:7" x14ac:dyDescent="0.25">
      <c r="A91" s="15" t="s">
        <v>36</v>
      </c>
      <c r="B91" s="16">
        <v>6873</v>
      </c>
      <c r="C91" s="18"/>
      <c r="D91" s="18"/>
      <c r="E91" s="18"/>
      <c r="F91" s="17"/>
      <c r="G91" s="17">
        <f t="shared" si="3"/>
        <v>0</v>
      </c>
    </row>
    <row r="92" spans="1:7" x14ac:dyDescent="0.25">
      <c r="A92" s="15" t="s">
        <v>17</v>
      </c>
      <c r="B92" s="16">
        <v>284233</v>
      </c>
      <c r="C92" s="16">
        <v>77369</v>
      </c>
      <c r="D92" s="16">
        <v>1950</v>
      </c>
      <c r="E92" s="16">
        <v>1950</v>
      </c>
      <c r="F92" s="17">
        <f t="shared" si="2"/>
        <v>2.5203893032092958E-2</v>
      </c>
      <c r="G92" s="17">
        <f t="shared" si="3"/>
        <v>6.860568618000021E-3</v>
      </c>
    </row>
    <row r="93" spans="1:7" x14ac:dyDescent="0.25">
      <c r="A93" s="15" t="s">
        <v>18</v>
      </c>
      <c r="B93" s="16">
        <v>166001</v>
      </c>
      <c r="C93" s="16">
        <v>80607</v>
      </c>
      <c r="D93" s="16">
        <v>50498.28</v>
      </c>
      <c r="E93" s="16">
        <v>50498.28</v>
      </c>
      <c r="F93" s="17">
        <f t="shared" si="2"/>
        <v>0.62647512002679662</v>
      </c>
      <c r="G93" s="17">
        <f t="shared" si="3"/>
        <v>0.30420467346582247</v>
      </c>
    </row>
    <row r="94" spans="1:7" x14ac:dyDescent="0.25">
      <c r="A94" s="15" t="s">
        <v>19</v>
      </c>
      <c r="B94" s="16">
        <v>41858</v>
      </c>
      <c r="C94" s="16">
        <v>7922</v>
      </c>
      <c r="D94" s="18"/>
      <c r="E94" s="18"/>
      <c r="F94" s="17">
        <f t="shared" si="2"/>
        <v>0</v>
      </c>
      <c r="G94" s="17">
        <f t="shared" si="3"/>
        <v>0</v>
      </c>
    </row>
    <row r="95" spans="1:7" x14ac:dyDescent="0.25">
      <c r="A95" s="15" t="s">
        <v>20</v>
      </c>
      <c r="B95" s="16">
        <v>345448</v>
      </c>
      <c r="C95" s="16">
        <v>93848</v>
      </c>
      <c r="D95" s="18"/>
      <c r="E95" s="18"/>
      <c r="F95" s="17">
        <f t="shared" si="2"/>
        <v>0</v>
      </c>
      <c r="G95" s="17">
        <f t="shared" si="3"/>
        <v>0</v>
      </c>
    </row>
    <row r="96" spans="1:7" ht="24" x14ac:dyDescent="0.25">
      <c r="A96" s="15" t="s">
        <v>32</v>
      </c>
      <c r="B96" s="16">
        <v>18395</v>
      </c>
      <c r="C96" s="16">
        <v>6397</v>
      </c>
      <c r="D96" s="19">
        <v>838.78</v>
      </c>
      <c r="E96" s="19">
        <v>838.78</v>
      </c>
      <c r="F96" s="17">
        <f t="shared" si="2"/>
        <v>0.13112083789276222</v>
      </c>
      <c r="G96" s="17">
        <f t="shared" si="3"/>
        <v>4.5598260396846967E-2</v>
      </c>
    </row>
    <row r="97" spans="1:7" ht="24" x14ac:dyDescent="0.25">
      <c r="A97" s="15" t="s">
        <v>21</v>
      </c>
      <c r="B97" s="16">
        <v>3000</v>
      </c>
      <c r="C97" s="16">
        <v>3000</v>
      </c>
      <c r="D97" s="18"/>
      <c r="E97" s="18"/>
      <c r="F97" s="17">
        <f t="shared" si="2"/>
        <v>0</v>
      </c>
      <c r="G97" s="17">
        <f t="shared" si="3"/>
        <v>0</v>
      </c>
    </row>
    <row r="98" spans="1:7" x14ac:dyDescent="0.25">
      <c r="A98" s="13" t="s">
        <v>37</v>
      </c>
      <c r="B98" s="14">
        <v>13964774</v>
      </c>
      <c r="C98" s="14">
        <v>3645957</v>
      </c>
      <c r="D98" s="14">
        <v>3415612.84</v>
      </c>
      <c r="E98" s="14">
        <v>3415612.84</v>
      </c>
      <c r="F98" s="12">
        <f t="shared" si="2"/>
        <v>0.93682203053958124</v>
      </c>
      <c r="G98" s="12">
        <f t="shared" si="3"/>
        <v>0.24458776346828096</v>
      </c>
    </row>
    <row r="99" spans="1:7" x14ac:dyDescent="0.25">
      <c r="A99" s="15" t="s">
        <v>14</v>
      </c>
      <c r="B99" s="16">
        <v>9827298</v>
      </c>
      <c r="C99" s="16">
        <v>2183100</v>
      </c>
      <c r="D99" s="16">
        <v>2183100</v>
      </c>
      <c r="E99" s="16">
        <v>2183100</v>
      </c>
      <c r="F99" s="17">
        <f t="shared" si="2"/>
        <v>1</v>
      </c>
      <c r="G99" s="17">
        <f t="shared" si="3"/>
        <v>0.22214651473884275</v>
      </c>
    </row>
    <row r="100" spans="1:7" x14ac:dyDescent="0.25">
      <c r="A100" s="15" t="s">
        <v>15</v>
      </c>
      <c r="B100" s="16">
        <v>2162005</v>
      </c>
      <c r="C100" s="16">
        <v>480282</v>
      </c>
      <c r="D100" s="16">
        <v>480282</v>
      </c>
      <c r="E100" s="16">
        <v>480282</v>
      </c>
      <c r="F100" s="17">
        <f t="shared" si="2"/>
        <v>1</v>
      </c>
      <c r="G100" s="17">
        <f t="shared" si="3"/>
        <v>0.22214657227897253</v>
      </c>
    </row>
    <row r="101" spans="1:7" x14ac:dyDescent="0.25">
      <c r="A101" s="15" t="s">
        <v>16</v>
      </c>
      <c r="B101" s="16">
        <v>95228</v>
      </c>
      <c r="C101" s="16">
        <v>47610</v>
      </c>
      <c r="D101" s="16">
        <v>39382</v>
      </c>
      <c r="E101" s="16">
        <v>39382</v>
      </c>
      <c r="F101" s="17">
        <f t="shared" si="2"/>
        <v>0.82717916404116787</v>
      </c>
      <c r="G101" s="17">
        <f t="shared" si="3"/>
        <v>0.41355483681270216</v>
      </c>
    </row>
    <row r="102" spans="1:7" x14ac:dyDescent="0.25">
      <c r="A102" s="15" t="s">
        <v>36</v>
      </c>
      <c r="B102" s="16">
        <v>10228</v>
      </c>
      <c r="C102" s="18"/>
      <c r="D102" s="18"/>
      <c r="E102" s="18"/>
      <c r="F102" s="17"/>
      <c r="G102" s="17">
        <f t="shared" si="3"/>
        <v>0</v>
      </c>
    </row>
    <row r="103" spans="1:7" x14ac:dyDescent="0.25">
      <c r="A103" s="15" t="s">
        <v>17</v>
      </c>
      <c r="B103" s="16">
        <v>424414</v>
      </c>
      <c r="C103" s="16">
        <v>219076</v>
      </c>
      <c r="D103" s="16">
        <v>5300</v>
      </c>
      <c r="E103" s="16">
        <v>5300</v>
      </c>
      <c r="F103" s="17">
        <f t="shared" si="2"/>
        <v>2.4192517665102522E-2</v>
      </c>
      <c r="G103" s="17">
        <f t="shared" si="3"/>
        <v>1.24878067170263E-2</v>
      </c>
    </row>
    <row r="104" spans="1:7" x14ac:dyDescent="0.25">
      <c r="A104" s="15" t="s">
        <v>18</v>
      </c>
      <c r="B104" s="16">
        <v>745828</v>
      </c>
      <c r="C104" s="16">
        <v>504204</v>
      </c>
      <c r="D104" s="16">
        <v>504202.67</v>
      </c>
      <c r="E104" s="16">
        <v>504202.67</v>
      </c>
      <c r="F104" s="17">
        <f t="shared" si="2"/>
        <v>0.99999736217880064</v>
      </c>
      <c r="G104" s="17">
        <f t="shared" si="3"/>
        <v>0.67603076044342658</v>
      </c>
    </row>
    <row r="105" spans="1:7" x14ac:dyDescent="0.25">
      <c r="A105" s="15" t="s">
        <v>19</v>
      </c>
      <c r="B105" s="16">
        <v>147942</v>
      </c>
      <c r="C105" s="16">
        <v>35603</v>
      </c>
      <c r="D105" s="16">
        <v>35542.589999999997</v>
      </c>
      <c r="E105" s="16">
        <v>35542.589999999997</v>
      </c>
      <c r="F105" s="17">
        <f t="shared" si="2"/>
        <v>0.99830323287363409</v>
      </c>
      <c r="G105" s="17">
        <f t="shared" si="3"/>
        <v>0.24024678590258342</v>
      </c>
    </row>
    <row r="106" spans="1:7" x14ac:dyDescent="0.25">
      <c r="A106" s="15" t="s">
        <v>20</v>
      </c>
      <c r="B106" s="16">
        <v>524500</v>
      </c>
      <c r="C106" s="16">
        <v>167000</v>
      </c>
      <c r="D106" s="16">
        <v>161888.32999999999</v>
      </c>
      <c r="E106" s="16">
        <v>161888.32999999999</v>
      </c>
      <c r="F106" s="17">
        <f t="shared" si="2"/>
        <v>0.96939119760479031</v>
      </c>
      <c r="G106" s="17">
        <f t="shared" si="3"/>
        <v>0.30865267874165869</v>
      </c>
    </row>
    <row r="107" spans="1:7" ht="24" x14ac:dyDescent="0.25">
      <c r="A107" s="15" t="s">
        <v>32</v>
      </c>
      <c r="B107" s="16">
        <v>24331</v>
      </c>
      <c r="C107" s="16">
        <v>6082</v>
      </c>
      <c r="D107" s="16">
        <v>5915.25</v>
      </c>
      <c r="E107" s="16">
        <v>5915.25</v>
      </c>
      <c r="F107" s="17">
        <f t="shared" si="2"/>
        <v>0.97258303189740214</v>
      </c>
      <c r="G107" s="17">
        <f t="shared" si="3"/>
        <v>0.24311577822530928</v>
      </c>
    </row>
    <row r="108" spans="1:7" ht="24" x14ac:dyDescent="0.25">
      <c r="A108" s="15" t="s">
        <v>21</v>
      </c>
      <c r="B108" s="16">
        <v>3000</v>
      </c>
      <c r="C108" s="16">
        <v>3000</v>
      </c>
      <c r="D108" s="18"/>
      <c r="E108" s="18"/>
      <c r="F108" s="17">
        <f t="shared" si="2"/>
        <v>0</v>
      </c>
      <c r="G108" s="17">
        <f t="shared" si="3"/>
        <v>0</v>
      </c>
    </row>
    <row r="109" spans="1:7" x14ac:dyDescent="0.25">
      <c r="A109" s="13" t="s">
        <v>38</v>
      </c>
      <c r="B109" s="14">
        <v>12759259</v>
      </c>
      <c r="C109" s="14">
        <v>3494115</v>
      </c>
      <c r="D109" s="14">
        <v>2844382.7</v>
      </c>
      <c r="E109" s="14">
        <v>2844382.7</v>
      </c>
      <c r="F109" s="12">
        <f t="shared" si="2"/>
        <v>0.81404953757961607</v>
      </c>
      <c r="G109" s="12">
        <f t="shared" si="3"/>
        <v>0.22292695053842862</v>
      </c>
    </row>
    <row r="110" spans="1:7" x14ac:dyDescent="0.25">
      <c r="A110" s="15" t="s">
        <v>14</v>
      </c>
      <c r="B110" s="16">
        <v>8971820</v>
      </c>
      <c r="C110" s="16">
        <v>2034000</v>
      </c>
      <c r="D110" s="16">
        <v>1850911.05</v>
      </c>
      <c r="E110" s="16">
        <v>1850911.05</v>
      </c>
      <c r="F110" s="17">
        <f t="shared" si="2"/>
        <v>0.9099857669616519</v>
      </c>
      <c r="G110" s="17">
        <f t="shared" si="3"/>
        <v>0.2063027401352234</v>
      </c>
    </row>
    <row r="111" spans="1:7" x14ac:dyDescent="0.25">
      <c r="A111" s="15" t="s">
        <v>15</v>
      </c>
      <c r="B111" s="16">
        <v>1973800</v>
      </c>
      <c r="C111" s="16">
        <v>447480</v>
      </c>
      <c r="D111" s="16">
        <v>403570.1</v>
      </c>
      <c r="E111" s="16">
        <v>403570.1</v>
      </c>
      <c r="F111" s="17">
        <f t="shared" si="2"/>
        <v>0.901872932868508</v>
      </c>
      <c r="G111" s="17">
        <f t="shared" si="3"/>
        <v>0.20446352214003444</v>
      </c>
    </row>
    <row r="112" spans="1:7" x14ac:dyDescent="0.25">
      <c r="A112" s="15" t="s">
        <v>16</v>
      </c>
      <c r="B112" s="16">
        <v>150000</v>
      </c>
      <c r="C112" s="16">
        <v>50000</v>
      </c>
      <c r="D112" s="18"/>
      <c r="E112" s="18"/>
      <c r="F112" s="17">
        <f t="shared" si="2"/>
        <v>0</v>
      </c>
      <c r="G112" s="17">
        <f t="shared" si="3"/>
        <v>0</v>
      </c>
    </row>
    <row r="113" spans="1:7" x14ac:dyDescent="0.25">
      <c r="A113" s="15" t="s">
        <v>17</v>
      </c>
      <c r="B113" s="16">
        <v>180039</v>
      </c>
      <c r="C113" s="16">
        <v>45000</v>
      </c>
      <c r="D113" s="16">
        <v>39606.81</v>
      </c>
      <c r="E113" s="16">
        <v>39606.81</v>
      </c>
      <c r="F113" s="17">
        <f t="shared" si="2"/>
        <v>0.88015133333333329</v>
      </c>
      <c r="G113" s="17">
        <f t="shared" si="3"/>
        <v>0.2199901687967607</v>
      </c>
    </row>
    <row r="114" spans="1:7" x14ac:dyDescent="0.25">
      <c r="A114" s="15" t="s">
        <v>18</v>
      </c>
      <c r="B114" s="16">
        <v>733679</v>
      </c>
      <c r="C114" s="16">
        <v>713121</v>
      </c>
      <c r="D114" s="16">
        <v>418574.67</v>
      </c>
      <c r="E114" s="16">
        <v>418574.67</v>
      </c>
      <c r="F114" s="17">
        <f t="shared" si="2"/>
        <v>0.58696163764634612</v>
      </c>
      <c r="G114" s="17">
        <f t="shared" si="3"/>
        <v>0.57051472101559397</v>
      </c>
    </row>
    <row r="115" spans="1:7" x14ac:dyDescent="0.25">
      <c r="A115" s="15" t="s">
        <v>19</v>
      </c>
      <c r="B115" s="16">
        <v>94775</v>
      </c>
      <c r="C115" s="16">
        <v>19476</v>
      </c>
      <c r="D115" s="16">
        <v>19295.669999999998</v>
      </c>
      <c r="E115" s="16">
        <v>19295.669999999998</v>
      </c>
      <c r="F115" s="17">
        <f t="shared" si="2"/>
        <v>0.99074091189155877</v>
      </c>
      <c r="G115" s="17">
        <f t="shared" si="3"/>
        <v>0.20359451332102346</v>
      </c>
    </row>
    <row r="116" spans="1:7" x14ac:dyDescent="0.25">
      <c r="A116" s="15" t="s">
        <v>20</v>
      </c>
      <c r="B116" s="16">
        <v>620000</v>
      </c>
      <c r="C116" s="16">
        <v>171000</v>
      </c>
      <c r="D116" s="16">
        <v>105465.09</v>
      </c>
      <c r="E116" s="16">
        <v>105465.09</v>
      </c>
      <c r="F116" s="17">
        <f t="shared" si="2"/>
        <v>0.61675491228070178</v>
      </c>
      <c r="G116" s="17">
        <f t="shared" si="3"/>
        <v>0.17010498387096773</v>
      </c>
    </row>
    <row r="117" spans="1:7" ht="24" x14ac:dyDescent="0.25">
      <c r="A117" s="15" t="s">
        <v>32</v>
      </c>
      <c r="B117" s="16">
        <v>28146</v>
      </c>
      <c r="C117" s="16">
        <v>7038</v>
      </c>
      <c r="D117" s="16">
        <v>6959.31</v>
      </c>
      <c r="E117" s="16">
        <v>6959.31</v>
      </c>
      <c r="F117" s="17">
        <f t="shared" si="2"/>
        <v>0.9888192668371697</v>
      </c>
      <c r="G117" s="17">
        <f t="shared" si="3"/>
        <v>0.24725751438925603</v>
      </c>
    </row>
    <row r="118" spans="1:7" ht="24" x14ac:dyDescent="0.25">
      <c r="A118" s="15" t="s">
        <v>21</v>
      </c>
      <c r="B118" s="16">
        <v>7000</v>
      </c>
      <c r="C118" s="16">
        <v>7000</v>
      </c>
      <c r="D118" s="18"/>
      <c r="E118" s="18"/>
      <c r="F118" s="17">
        <f t="shared" si="2"/>
        <v>0</v>
      </c>
      <c r="G118" s="17">
        <f t="shared" si="3"/>
        <v>0</v>
      </c>
    </row>
    <row r="119" spans="1:7" ht="24" x14ac:dyDescent="0.25">
      <c r="A119" s="13" t="s">
        <v>29</v>
      </c>
      <c r="B119" s="14">
        <v>989365591</v>
      </c>
      <c r="C119" s="14">
        <f>SUM(C120:C130)</f>
        <v>237113616</v>
      </c>
      <c r="D119" s="14">
        <v>205578092.96000001</v>
      </c>
      <c r="E119" s="14">
        <v>203649789.28</v>
      </c>
      <c r="F119" s="12">
        <f t="shared" si="2"/>
        <v>0.8670024793515021</v>
      </c>
      <c r="G119" s="12">
        <f t="shared" si="3"/>
        <v>0.20778779333958058</v>
      </c>
    </row>
    <row r="120" spans="1:7" x14ac:dyDescent="0.25">
      <c r="A120" s="15" t="s">
        <v>14</v>
      </c>
      <c r="B120" s="16">
        <v>659203434</v>
      </c>
      <c r="C120" s="16">
        <f>143619756-C88-C99-C110</f>
        <v>137890458</v>
      </c>
      <c r="D120" s="16">
        <v>137836690.34999999</v>
      </c>
      <c r="E120" s="16">
        <v>137836690.34999999</v>
      </c>
      <c r="F120" s="17">
        <f t="shared" si="2"/>
        <v>0.99961006982803691</v>
      </c>
      <c r="G120" s="17">
        <f t="shared" si="3"/>
        <v>0.20909583178840052</v>
      </c>
    </row>
    <row r="121" spans="1:7" x14ac:dyDescent="0.25">
      <c r="A121" s="15" t="s">
        <v>15</v>
      </c>
      <c r="B121" s="16">
        <v>145024755</v>
      </c>
      <c r="C121" s="16">
        <f>31433794-C89-C100-C111</f>
        <v>30173350</v>
      </c>
      <c r="D121" s="16">
        <v>30080039.850000001</v>
      </c>
      <c r="E121" s="16">
        <v>30080039.850000001</v>
      </c>
      <c r="F121" s="17">
        <f t="shared" si="2"/>
        <v>0.99690753098346729</v>
      </c>
      <c r="G121" s="17">
        <f t="shared" si="3"/>
        <v>0.20741314026008872</v>
      </c>
    </row>
    <row r="122" spans="1:7" x14ac:dyDescent="0.25">
      <c r="A122" s="15" t="s">
        <v>16</v>
      </c>
      <c r="B122" s="16">
        <v>6445777</v>
      </c>
      <c r="C122" s="16">
        <f>2300000-C90-C101-C112</f>
        <v>2180704</v>
      </c>
      <c r="D122" s="16">
        <v>58498.080000000002</v>
      </c>
      <c r="E122" s="16">
        <v>3578.4</v>
      </c>
      <c r="F122" s="17">
        <f t="shared" si="2"/>
        <v>2.6825318796131894E-2</v>
      </c>
      <c r="G122" s="17">
        <f t="shared" si="3"/>
        <v>9.0754116997842152E-3</v>
      </c>
    </row>
    <row r="123" spans="1:7" x14ac:dyDescent="0.25">
      <c r="A123" s="15" t="s">
        <v>36</v>
      </c>
      <c r="B123" s="16">
        <v>660079</v>
      </c>
      <c r="C123" s="16"/>
      <c r="D123" s="18"/>
      <c r="E123" s="18"/>
      <c r="F123" s="17"/>
      <c r="G123" s="17">
        <f t="shared" si="3"/>
        <v>0</v>
      </c>
    </row>
    <row r="124" spans="1:7" x14ac:dyDescent="0.25">
      <c r="A124" s="15" t="s">
        <v>17</v>
      </c>
      <c r="B124" s="16">
        <v>83179720</v>
      </c>
      <c r="C124" s="16">
        <f>17486714-C92-C103-C113</f>
        <v>17145269</v>
      </c>
      <c r="D124" s="16">
        <v>5019027.82</v>
      </c>
      <c r="E124" s="16">
        <v>3145643.82</v>
      </c>
      <c r="F124" s="17">
        <f t="shared" si="2"/>
        <v>0.29273543739675362</v>
      </c>
      <c r="G124" s="17">
        <f t="shared" si="3"/>
        <v>6.0339561373854114E-2</v>
      </c>
    </row>
    <row r="125" spans="1:7" x14ac:dyDescent="0.25">
      <c r="A125" s="15" t="s">
        <v>18</v>
      </c>
      <c r="B125" s="16">
        <v>60333200</v>
      </c>
      <c r="C125" s="16">
        <f>40573066-C93-C104-C114</f>
        <v>39275134</v>
      </c>
      <c r="D125" s="16">
        <v>26446167.629999999</v>
      </c>
      <c r="E125" s="16">
        <v>26446167.629999999</v>
      </c>
      <c r="F125" s="17">
        <f t="shared" si="2"/>
        <v>0.67335652196629037</v>
      </c>
      <c r="G125" s="17">
        <f t="shared" si="3"/>
        <v>0.43833523880715758</v>
      </c>
    </row>
    <row r="126" spans="1:7" x14ac:dyDescent="0.25">
      <c r="A126" s="15" t="s">
        <v>19</v>
      </c>
      <c r="B126" s="16">
        <v>7717904</v>
      </c>
      <c r="C126" s="16">
        <f>1876910-C94-C105-C115</f>
        <v>1813909</v>
      </c>
      <c r="D126" s="16">
        <v>1705513.96</v>
      </c>
      <c r="E126" s="16">
        <v>1705513.96</v>
      </c>
      <c r="F126" s="17">
        <f t="shared" si="2"/>
        <v>0.94024229440396401</v>
      </c>
      <c r="G126" s="17">
        <f t="shared" si="3"/>
        <v>0.22098149445756257</v>
      </c>
    </row>
    <row r="127" spans="1:7" x14ac:dyDescent="0.25">
      <c r="A127" s="15" t="s">
        <v>20</v>
      </c>
      <c r="B127" s="16">
        <v>24776908</v>
      </c>
      <c r="C127" s="16">
        <f>8223390-C95-C106-C116</f>
        <v>7791542</v>
      </c>
      <c r="D127" s="16">
        <v>4153513.79</v>
      </c>
      <c r="E127" s="16">
        <v>4153513.79</v>
      </c>
      <c r="F127" s="17">
        <f t="shared" si="2"/>
        <v>0.5330798178332351</v>
      </c>
      <c r="G127" s="17">
        <f t="shared" si="3"/>
        <v>0.16763648595700481</v>
      </c>
    </row>
    <row r="128" spans="1:7" x14ac:dyDescent="0.25">
      <c r="A128" s="15" t="s">
        <v>39</v>
      </c>
      <c r="B128" s="16">
        <v>306700</v>
      </c>
      <c r="C128" s="16">
        <f>87861</f>
        <v>87861</v>
      </c>
      <c r="D128" s="16">
        <v>42525.55</v>
      </c>
      <c r="E128" s="16">
        <v>42525.55</v>
      </c>
      <c r="F128" s="17">
        <f t="shared" si="2"/>
        <v>0.48400940121328012</v>
      </c>
      <c r="G128" s="17">
        <f t="shared" si="3"/>
        <v>0.13865520052168243</v>
      </c>
    </row>
    <row r="129" spans="1:7" ht="24" x14ac:dyDescent="0.25">
      <c r="A129" s="15" t="s">
        <v>32</v>
      </c>
      <c r="B129" s="16">
        <v>1486114</v>
      </c>
      <c r="C129" s="16">
        <f>543906-C96-C107-C117</f>
        <v>524389</v>
      </c>
      <c r="D129" s="16">
        <v>236115.93</v>
      </c>
      <c r="E129" s="16">
        <v>236115.93</v>
      </c>
      <c r="F129" s="17">
        <f t="shared" si="2"/>
        <v>0.45026865552099682</v>
      </c>
      <c r="G129" s="17">
        <f t="shared" si="3"/>
        <v>0.1588814384360823</v>
      </c>
    </row>
    <row r="130" spans="1:7" ht="24" x14ac:dyDescent="0.25">
      <c r="A130" s="15" t="s">
        <v>21</v>
      </c>
      <c r="B130" s="16">
        <v>231000</v>
      </c>
      <c r="C130" s="16">
        <f>244000-C97-C108-C118</f>
        <v>231000</v>
      </c>
      <c r="D130" s="18"/>
      <c r="E130" s="18"/>
      <c r="F130" s="17">
        <f t="shared" si="2"/>
        <v>0</v>
      </c>
      <c r="G130" s="17">
        <f t="shared" si="3"/>
        <v>0</v>
      </c>
    </row>
    <row r="131" spans="1:7" ht="36" x14ac:dyDescent="0.25">
      <c r="A131" s="10" t="s">
        <v>40</v>
      </c>
      <c r="B131" s="11">
        <v>914564711</v>
      </c>
      <c r="C131" s="11">
        <f>C132+C143+C155+C166+C177</f>
        <v>241787527</v>
      </c>
      <c r="D131" s="11">
        <v>197436438.52000001</v>
      </c>
      <c r="E131" s="11">
        <v>196961480.06999999</v>
      </c>
      <c r="F131" s="12">
        <f t="shared" si="2"/>
        <v>0.81656999006404496</v>
      </c>
      <c r="G131" s="12">
        <f t="shared" si="3"/>
        <v>0.21588022820618105</v>
      </c>
    </row>
    <row r="132" spans="1:7" ht="24" x14ac:dyDescent="0.25">
      <c r="A132" s="10" t="s">
        <v>35</v>
      </c>
      <c r="B132" s="11">
        <v>24960549</v>
      </c>
      <c r="C132" s="11">
        <v>7183052</v>
      </c>
      <c r="D132" s="11">
        <v>4741781.16</v>
      </c>
      <c r="E132" s="11">
        <v>4678331.16</v>
      </c>
      <c r="F132" s="12">
        <f t="shared" si="2"/>
        <v>0.66013460016717129</v>
      </c>
      <c r="G132" s="12">
        <f t="shared" si="3"/>
        <v>0.18997102828146931</v>
      </c>
    </row>
    <row r="133" spans="1:7" x14ac:dyDescent="0.25">
      <c r="A133" s="15" t="s">
        <v>14</v>
      </c>
      <c r="B133" s="16">
        <v>15156218</v>
      </c>
      <c r="C133" s="16">
        <v>4378593</v>
      </c>
      <c r="D133" s="16">
        <v>3802602.13</v>
      </c>
      <c r="E133" s="16">
        <v>3802602.13</v>
      </c>
      <c r="F133" s="17">
        <f t="shared" si="2"/>
        <v>0.86845297793149534</v>
      </c>
      <c r="G133" s="17">
        <f t="shared" si="3"/>
        <v>0.25089386613467818</v>
      </c>
    </row>
    <row r="134" spans="1:7" x14ac:dyDescent="0.25">
      <c r="A134" s="15" t="s">
        <v>15</v>
      </c>
      <c r="B134" s="16">
        <v>3334368</v>
      </c>
      <c r="C134" s="16">
        <v>963290</v>
      </c>
      <c r="D134" s="16">
        <v>812664.26</v>
      </c>
      <c r="E134" s="16">
        <v>812664.26</v>
      </c>
      <c r="F134" s="17">
        <f t="shared" ref="F134:F197" si="4">D134/C134</f>
        <v>0.84363406658431006</v>
      </c>
      <c r="G134" s="17">
        <f t="shared" ref="G134:G197" si="5">D134/B134</f>
        <v>0.24372362618643173</v>
      </c>
    </row>
    <row r="135" spans="1:7" x14ac:dyDescent="0.25">
      <c r="A135" s="15" t="s">
        <v>16</v>
      </c>
      <c r="B135" s="16">
        <v>700000</v>
      </c>
      <c r="C135" s="16">
        <v>155000</v>
      </c>
      <c r="D135" s="16">
        <v>72580</v>
      </c>
      <c r="E135" s="16">
        <v>9130</v>
      </c>
      <c r="F135" s="17">
        <f t="shared" si="4"/>
        <v>0.46825806451612906</v>
      </c>
      <c r="G135" s="17">
        <f t="shared" si="5"/>
        <v>0.10368571428571428</v>
      </c>
    </row>
    <row r="136" spans="1:7" x14ac:dyDescent="0.25">
      <c r="A136" s="15" t="s">
        <v>36</v>
      </c>
      <c r="B136" s="16">
        <v>33000</v>
      </c>
      <c r="C136" s="18"/>
      <c r="D136" s="18"/>
      <c r="E136" s="18"/>
      <c r="F136" s="17"/>
      <c r="G136" s="17">
        <f t="shared" si="5"/>
        <v>0</v>
      </c>
    </row>
    <row r="137" spans="1:7" x14ac:dyDescent="0.25">
      <c r="A137" s="15" t="s">
        <v>17</v>
      </c>
      <c r="B137" s="16">
        <v>2200000</v>
      </c>
      <c r="C137" s="16">
        <v>380000</v>
      </c>
      <c r="D137" s="16">
        <v>50457.23</v>
      </c>
      <c r="E137" s="16">
        <v>50457.23</v>
      </c>
      <c r="F137" s="17">
        <f t="shared" si="4"/>
        <v>0.13278218421052632</v>
      </c>
      <c r="G137" s="17">
        <f t="shared" si="5"/>
        <v>2.2935104545454547E-2</v>
      </c>
    </row>
    <row r="138" spans="1:7" x14ac:dyDescent="0.25">
      <c r="A138" s="15" t="s">
        <v>18</v>
      </c>
      <c r="B138" s="16">
        <v>1705364</v>
      </c>
      <c r="C138" s="16">
        <v>861692</v>
      </c>
      <c r="D138" s="18"/>
      <c r="E138" s="18"/>
      <c r="F138" s="17">
        <f t="shared" si="4"/>
        <v>0</v>
      </c>
      <c r="G138" s="17">
        <f t="shared" si="5"/>
        <v>0</v>
      </c>
    </row>
    <row r="139" spans="1:7" x14ac:dyDescent="0.25">
      <c r="A139" s="15" t="s">
        <v>19</v>
      </c>
      <c r="B139" s="16">
        <v>118086</v>
      </c>
      <c r="C139" s="16">
        <v>21661</v>
      </c>
      <c r="D139" s="18"/>
      <c r="E139" s="18"/>
      <c r="F139" s="17">
        <f t="shared" si="4"/>
        <v>0</v>
      </c>
      <c r="G139" s="17">
        <f t="shared" si="5"/>
        <v>0</v>
      </c>
    </row>
    <row r="140" spans="1:7" x14ac:dyDescent="0.25">
      <c r="A140" s="15" t="s">
        <v>20</v>
      </c>
      <c r="B140" s="16">
        <v>1688077</v>
      </c>
      <c r="C140" s="16">
        <v>412637</v>
      </c>
      <c r="D140" s="18"/>
      <c r="E140" s="18"/>
      <c r="F140" s="17">
        <f t="shared" si="4"/>
        <v>0</v>
      </c>
      <c r="G140" s="17">
        <f t="shared" si="5"/>
        <v>0</v>
      </c>
    </row>
    <row r="141" spans="1:7" ht="24" x14ac:dyDescent="0.25">
      <c r="A141" s="15" t="s">
        <v>32</v>
      </c>
      <c r="B141" s="16">
        <v>22436</v>
      </c>
      <c r="C141" s="16">
        <v>7179</v>
      </c>
      <c r="D141" s="16">
        <v>1677.54</v>
      </c>
      <c r="E141" s="16">
        <v>1677.54</v>
      </c>
      <c r="F141" s="17">
        <f t="shared" si="4"/>
        <v>0.23367321353949017</v>
      </c>
      <c r="G141" s="17">
        <f t="shared" si="5"/>
        <v>7.4770012479942943E-2</v>
      </c>
    </row>
    <row r="142" spans="1:7" ht="24" x14ac:dyDescent="0.25">
      <c r="A142" s="15" t="s">
        <v>21</v>
      </c>
      <c r="B142" s="16">
        <v>3000</v>
      </c>
      <c r="C142" s="16">
        <v>3000</v>
      </c>
      <c r="D142" s="16">
        <v>1800</v>
      </c>
      <c r="E142" s="16">
        <v>1800</v>
      </c>
      <c r="F142" s="17">
        <f t="shared" si="4"/>
        <v>0.6</v>
      </c>
      <c r="G142" s="17">
        <f t="shared" si="5"/>
        <v>0.6</v>
      </c>
    </row>
    <row r="143" spans="1:7" x14ac:dyDescent="0.25">
      <c r="A143" s="10" t="s">
        <v>41</v>
      </c>
      <c r="B143" s="11">
        <v>31871664</v>
      </c>
      <c r="C143" s="11">
        <v>9960521</v>
      </c>
      <c r="D143" s="11">
        <v>4664620.67</v>
      </c>
      <c r="E143" s="11">
        <v>4663220.67</v>
      </c>
      <c r="F143" s="12">
        <f t="shared" si="4"/>
        <v>0.46831091164809552</v>
      </c>
      <c r="G143" s="12">
        <f t="shared" si="5"/>
        <v>0.146356358111707</v>
      </c>
    </row>
    <row r="144" spans="1:7" x14ac:dyDescent="0.25">
      <c r="A144" s="15" t="s">
        <v>14</v>
      </c>
      <c r="B144" s="16">
        <v>17650926</v>
      </c>
      <c r="C144" s="16">
        <f>5407063-1781103</f>
        <v>3625960</v>
      </c>
      <c r="D144" s="16">
        <v>3483550.9</v>
      </c>
      <c r="E144" s="16">
        <v>3483550.9</v>
      </c>
      <c r="F144" s="17">
        <f t="shared" si="4"/>
        <v>0.96072513210294652</v>
      </c>
      <c r="G144" s="17">
        <f t="shared" si="5"/>
        <v>0.19735796864141858</v>
      </c>
    </row>
    <row r="145" spans="1:7" x14ac:dyDescent="0.25">
      <c r="A145" s="15" t="s">
        <v>15</v>
      </c>
      <c r="B145" s="16">
        <v>3883206</v>
      </c>
      <c r="C145" s="16">
        <f>1189554-392440</f>
        <v>797114</v>
      </c>
      <c r="D145" s="16">
        <v>756461.55</v>
      </c>
      <c r="E145" s="16">
        <v>756461.55</v>
      </c>
      <c r="F145" s="17">
        <f t="shared" si="4"/>
        <v>0.94900045664735544</v>
      </c>
      <c r="G145" s="17">
        <f t="shared" si="5"/>
        <v>0.19480335320866315</v>
      </c>
    </row>
    <row r="146" spans="1:7" x14ac:dyDescent="0.25">
      <c r="A146" s="15" t="s">
        <v>16</v>
      </c>
      <c r="B146" s="16">
        <v>1220000</v>
      </c>
      <c r="C146" s="16">
        <v>295000</v>
      </c>
      <c r="D146" s="16">
        <v>7520</v>
      </c>
      <c r="E146" s="16">
        <v>6120</v>
      </c>
      <c r="F146" s="17">
        <f t="shared" si="4"/>
        <v>2.5491525423728813E-2</v>
      </c>
      <c r="G146" s="17">
        <f t="shared" si="5"/>
        <v>6.1639344262295085E-3</v>
      </c>
    </row>
    <row r="147" spans="1:7" x14ac:dyDescent="0.25">
      <c r="A147" s="15" t="s">
        <v>36</v>
      </c>
      <c r="B147" s="16">
        <v>43700</v>
      </c>
      <c r="C147" s="18"/>
      <c r="D147" s="18"/>
      <c r="E147" s="18"/>
      <c r="F147" s="17"/>
      <c r="G147" s="17">
        <f t="shared" si="5"/>
        <v>0</v>
      </c>
    </row>
    <row r="148" spans="1:7" x14ac:dyDescent="0.25">
      <c r="A148" s="15" t="s">
        <v>42</v>
      </c>
      <c r="B148" s="16">
        <v>351518</v>
      </c>
      <c r="C148" s="18"/>
      <c r="D148" s="18"/>
      <c r="E148" s="18"/>
      <c r="F148" s="17"/>
      <c r="G148" s="17">
        <f t="shared" si="5"/>
        <v>0</v>
      </c>
    </row>
    <row r="149" spans="1:7" x14ac:dyDescent="0.25">
      <c r="A149" s="15" t="s">
        <v>17</v>
      </c>
      <c r="B149" s="16">
        <v>3620000</v>
      </c>
      <c r="C149" s="16">
        <v>720000</v>
      </c>
      <c r="D149" s="16">
        <v>19301</v>
      </c>
      <c r="E149" s="16">
        <v>19301</v>
      </c>
      <c r="F149" s="17">
        <f t="shared" si="4"/>
        <v>2.6806944444444446E-2</v>
      </c>
      <c r="G149" s="17">
        <f t="shared" si="5"/>
        <v>5.3317679558011052E-3</v>
      </c>
    </row>
    <row r="150" spans="1:7" x14ac:dyDescent="0.25">
      <c r="A150" s="15" t="s">
        <v>18</v>
      </c>
      <c r="B150" s="16">
        <v>1530664</v>
      </c>
      <c r="C150" s="16">
        <v>1048059</v>
      </c>
      <c r="D150" s="16">
        <v>394432.13</v>
      </c>
      <c r="E150" s="16">
        <v>394432.13</v>
      </c>
      <c r="F150" s="17">
        <f t="shared" si="4"/>
        <v>0.37634534887825971</v>
      </c>
      <c r="G150" s="17">
        <f t="shared" si="5"/>
        <v>0.25768694501209932</v>
      </c>
    </row>
    <row r="151" spans="1:7" x14ac:dyDescent="0.25">
      <c r="A151" s="15" t="s">
        <v>19</v>
      </c>
      <c r="B151" s="16">
        <v>418575</v>
      </c>
      <c r="C151" s="16">
        <v>118544</v>
      </c>
      <c r="D151" s="18"/>
      <c r="E151" s="18"/>
      <c r="F151" s="17">
        <f t="shared" si="4"/>
        <v>0</v>
      </c>
      <c r="G151" s="17">
        <f t="shared" si="5"/>
        <v>0</v>
      </c>
    </row>
    <row r="152" spans="1:7" x14ac:dyDescent="0.25">
      <c r="A152" s="15" t="s">
        <v>20</v>
      </c>
      <c r="B152" s="16">
        <v>3115130</v>
      </c>
      <c r="C152" s="16">
        <v>1163000</v>
      </c>
      <c r="D152" s="18"/>
      <c r="E152" s="18"/>
      <c r="F152" s="17">
        <f t="shared" si="4"/>
        <v>0</v>
      </c>
      <c r="G152" s="17">
        <f t="shared" si="5"/>
        <v>0</v>
      </c>
    </row>
    <row r="153" spans="1:7" ht="24" x14ac:dyDescent="0.25">
      <c r="A153" s="15" t="s">
        <v>32</v>
      </c>
      <c r="B153" s="16">
        <v>34945</v>
      </c>
      <c r="C153" s="16">
        <v>16301</v>
      </c>
      <c r="D153" s="16">
        <v>3355.09</v>
      </c>
      <c r="E153" s="16">
        <v>3355.09</v>
      </c>
      <c r="F153" s="17">
        <f t="shared" si="4"/>
        <v>0.2058211152690019</v>
      </c>
      <c r="G153" s="17">
        <f t="shared" si="5"/>
        <v>9.6010588066962374E-2</v>
      </c>
    </row>
    <row r="154" spans="1:7" ht="24" x14ac:dyDescent="0.25">
      <c r="A154" s="15" t="s">
        <v>21</v>
      </c>
      <c r="B154" s="16">
        <v>3000</v>
      </c>
      <c r="C154" s="16">
        <v>3000</v>
      </c>
      <c r="D154" s="18"/>
      <c r="E154" s="18"/>
      <c r="F154" s="17">
        <f t="shared" si="4"/>
        <v>0</v>
      </c>
      <c r="G154" s="17">
        <f t="shared" si="5"/>
        <v>0</v>
      </c>
    </row>
    <row r="155" spans="1:7" x14ac:dyDescent="0.25">
      <c r="A155" s="10" t="s">
        <v>37</v>
      </c>
      <c r="B155" s="11">
        <v>48331411</v>
      </c>
      <c r="C155" s="11">
        <v>17342568</v>
      </c>
      <c r="D155" s="11">
        <v>14317027.939999999</v>
      </c>
      <c r="E155" s="11">
        <v>13953247.35</v>
      </c>
      <c r="F155" s="12">
        <f t="shared" si="4"/>
        <v>0.82554255748052996</v>
      </c>
      <c r="G155" s="12">
        <f t="shared" si="5"/>
        <v>0.29622615280153936</v>
      </c>
    </row>
    <row r="156" spans="1:7" x14ac:dyDescent="0.25">
      <c r="A156" s="15" t="s">
        <v>14</v>
      </c>
      <c r="B156" s="16">
        <v>28528805</v>
      </c>
      <c r="C156" s="16">
        <v>8283131</v>
      </c>
      <c r="D156" s="16">
        <v>8216439.2199999997</v>
      </c>
      <c r="E156" s="16">
        <v>8216439.2199999997</v>
      </c>
      <c r="F156" s="17">
        <f t="shared" si="4"/>
        <v>0.99194848179993766</v>
      </c>
      <c r="G156" s="17">
        <f t="shared" si="5"/>
        <v>0.2880050257976105</v>
      </c>
    </row>
    <row r="157" spans="1:7" x14ac:dyDescent="0.25">
      <c r="A157" s="15" t="s">
        <v>15</v>
      </c>
      <c r="B157" s="16">
        <v>6276335</v>
      </c>
      <c r="C157" s="16">
        <v>1822288</v>
      </c>
      <c r="D157" s="16">
        <v>1822288</v>
      </c>
      <c r="E157" s="16">
        <v>1822288</v>
      </c>
      <c r="F157" s="17">
        <f t="shared" si="4"/>
        <v>1</v>
      </c>
      <c r="G157" s="17">
        <f t="shared" si="5"/>
        <v>0.2903426920328504</v>
      </c>
    </row>
    <row r="158" spans="1:7" x14ac:dyDescent="0.25">
      <c r="A158" s="15" t="s">
        <v>16</v>
      </c>
      <c r="B158" s="16">
        <v>1136145</v>
      </c>
      <c r="C158" s="16">
        <v>1136145</v>
      </c>
      <c r="D158" s="16">
        <v>848181.49</v>
      </c>
      <c r="E158" s="16">
        <v>682401.89</v>
      </c>
      <c r="F158" s="17">
        <f t="shared" si="4"/>
        <v>0.74654334613979734</v>
      </c>
      <c r="G158" s="17">
        <f t="shared" si="5"/>
        <v>0.74654334613979734</v>
      </c>
    </row>
    <row r="159" spans="1:7" x14ac:dyDescent="0.25">
      <c r="A159" s="15" t="s">
        <v>36</v>
      </c>
      <c r="B159" s="16">
        <v>32600</v>
      </c>
      <c r="C159" s="18"/>
      <c r="D159" s="18"/>
      <c r="E159" s="18"/>
      <c r="F159" s="17"/>
      <c r="G159" s="17">
        <f t="shared" si="5"/>
        <v>0</v>
      </c>
    </row>
    <row r="160" spans="1:7" x14ac:dyDescent="0.25">
      <c r="A160" s="15" t="s">
        <v>17</v>
      </c>
      <c r="B160" s="16">
        <v>3408435</v>
      </c>
      <c r="C160" s="16">
        <v>2085000</v>
      </c>
      <c r="D160" s="16">
        <v>1206790.19</v>
      </c>
      <c r="E160" s="16">
        <v>1008789.2</v>
      </c>
      <c r="F160" s="17">
        <f t="shared" si="4"/>
        <v>0.57879625419664271</v>
      </c>
      <c r="G160" s="17">
        <f t="shared" si="5"/>
        <v>0.35405991019338784</v>
      </c>
    </row>
    <row r="161" spans="1:7" x14ac:dyDescent="0.25">
      <c r="A161" s="15" t="s">
        <v>18</v>
      </c>
      <c r="B161" s="16">
        <v>6374702</v>
      </c>
      <c r="C161" s="16">
        <v>3044073</v>
      </c>
      <c r="D161" s="16">
        <v>1638639.19</v>
      </c>
      <c r="E161" s="16">
        <v>1638639.19</v>
      </c>
      <c r="F161" s="17">
        <f t="shared" si="4"/>
        <v>0.53830482711814076</v>
      </c>
      <c r="G161" s="17">
        <f t="shared" si="5"/>
        <v>0.25705345755770231</v>
      </c>
    </row>
    <row r="162" spans="1:7" x14ac:dyDescent="0.25">
      <c r="A162" s="15" t="s">
        <v>19</v>
      </c>
      <c r="B162" s="16">
        <v>333768</v>
      </c>
      <c r="C162" s="16">
        <v>114530</v>
      </c>
      <c r="D162" s="16">
        <v>114454.7</v>
      </c>
      <c r="E162" s="16">
        <v>114454.7</v>
      </c>
      <c r="F162" s="17">
        <f t="shared" si="4"/>
        <v>0.9993425303413952</v>
      </c>
      <c r="G162" s="17">
        <f t="shared" si="5"/>
        <v>0.34291693631504516</v>
      </c>
    </row>
    <row r="163" spans="1:7" x14ac:dyDescent="0.25">
      <c r="A163" s="15" t="s">
        <v>20</v>
      </c>
      <c r="B163" s="16">
        <v>2118855</v>
      </c>
      <c r="C163" s="16">
        <v>824710</v>
      </c>
      <c r="D163" s="16">
        <v>462209.04</v>
      </c>
      <c r="E163" s="16">
        <v>462209.04</v>
      </c>
      <c r="F163" s="17">
        <f t="shared" si="4"/>
        <v>0.5604503886214548</v>
      </c>
      <c r="G163" s="17">
        <f t="shared" si="5"/>
        <v>0.21814094876714074</v>
      </c>
    </row>
    <row r="164" spans="1:7" ht="24" x14ac:dyDescent="0.25">
      <c r="A164" s="15" t="s">
        <v>32</v>
      </c>
      <c r="B164" s="16">
        <v>118766</v>
      </c>
      <c r="C164" s="16">
        <v>29691</v>
      </c>
      <c r="D164" s="16">
        <v>8026.11</v>
      </c>
      <c r="E164" s="16">
        <v>8026.11</v>
      </c>
      <c r="F164" s="17">
        <f t="shared" si="4"/>
        <v>0.27032130948772354</v>
      </c>
      <c r="G164" s="17">
        <f t="shared" si="5"/>
        <v>6.7579189330279704E-2</v>
      </c>
    </row>
    <row r="165" spans="1:7" ht="24" x14ac:dyDescent="0.25">
      <c r="A165" s="15" t="s">
        <v>21</v>
      </c>
      <c r="B165" s="16">
        <v>3000</v>
      </c>
      <c r="C165" s="16">
        <v>3000</v>
      </c>
      <c r="D165" s="18"/>
      <c r="E165" s="18"/>
      <c r="F165" s="17">
        <f t="shared" si="4"/>
        <v>0</v>
      </c>
      <c r="G165" s="17">
        <f t="shared" si="5"/>
        <v>0</v>
      </c>
    </row>
    <row r="166" spans="1:7" ht="24" x14ac:dyDescent="0.25">
      <c r="A166" s="10" t="s">
        <v>43</v>
      </c>
      <c r="B166" s="11">
        <v>23828850</v>
      </c>
      <c r="C166" s="11">
        <v>7377819</v>
      </c>
      <c r="D166" s="11">
        <v>6147056.3200000003</v>
      </c>
      <c r="E166" s="11">
        <v>6114458.3799999999</v>
      </c>
      <c r="F166" s="12">
        <f t="shared" si="4"/>
        <v>0.83318068930669076</v>
      </c>
      <c r="G166" s="12">
        <f t="shared" si="5"/>
        <v>0.25796697364749033</v>
      </c>
    </row>
    <row r="167" spans="1:7" x14ac:dyDescent="0.25">
      <c r="A167" s="15" t="s">
        <v>14</v>
      </c>
      <c r="B167" s="16">
        <v>14036679</v>
      </c>
      <c r="C167" s="16">
        <v>4175899</v>
      </c>
      <c r="D167" s="16">
        <v>4175830.82</v>
      </c>
      <c r="E167" s="16">
        <v>4175830.82</v>
      </c>
      <c r="F167" s="17">
        <f t="shared" si="4"/>
        <v>0.99998367297676494</v>
      </c>
      <c r="G167" s="17">
        <f t="shared" si="5"/>
        <v>0.29749421640261203</v>
      </c>
    </row>
    <row r="168" spans="1:7" x14ac:dyDescent="0.25">
      <c r="A168" s="15" t="s">
        <v>15</v>
      </c>
      <c r="B168" s="16">
        <v>3088068</v>
      </c>
      <c r="C168" s="16">
        <v>918697</v>
      </c>
      <c r="D168" s="16">
        <v>906179.19</v>
      </c>
      <c r="E168" s="16">
        <v>906179.19</v>
      </c>
      <c r="F168" s="17">
        <f t="shared" si="4"/>
        <v>0.98637438676734546</v>
      </c>
      <c r="G168" s="17">
        <f t="shared" si="5"/>
        <v>0.29344534835372793</v>
      </c>
    </row>
    <row r="169" spans="1:7" x14ac:dyDescent="0.25">
      <c r="A169" s="15" t="s">
        <v>16</v>
      </c>
      <c r="B169" s="16">
        <v>714160</v>
      </c>
      <c r="C169" s="16">
        <v>300000</v>
      </c>
      <c r="D169" s="16">
        <v>125013.04</v>
      </c>
      <c r="E169" s="16">
        <v>92415.1</v>
      </c>
      <c r="F169" s="17">
        <f t="shared" si="4"/>
        <v>0.41671013333333329</v>
      </c>
      <c r="G169" s="17">
        <f t="shared" si="5"/>
        <v>0.17504906463537581</v>
      </c>
    </row>
    <row r="170" spans="1:7" x14ac:dyDescent="0.25">
      <c r="A170" s="15" t="s">
        <v>36</v>
      </c>
      <c r="B170" s="16">
        <v>24900</v>
      </c>
      <c r="C170" s="18"/>
      <c r="D170" s="18"/>
      <c r="E170" s="18"/>
      <c r="F170" s="17"/>
      <c r="G170" s="17">
        <f t="shared" si="5"/>
        <v>0</v>
      </c>
    </row>
    <row r="171" spans="1:7" x14ac:dyDescent="0.25">
      <c r="A171" s="15" t="s">
        <v>17</v>
      </c>
      <c r="B171" s="16">
        <v>2142479</v>
      </c>
      <c r="C171" s="16">
        <v>400000</v>
      </c>
      <c r="D171" s="16">
        <v>74979.929999999993</v>
      </c>
      <c r="E171" s="16">
        <v>74979.929999999993</v>
      </c>
      <c r="F171" s="17">
        <f t="shared" si="4"/>
        <v>0.18744982499999999</v>
      </c>
      <c r="G171" s="17">
        <f t="shared" si="5"/>
        <v>3.4996809770364137E-2</v>
      </c>
    </row>
    <row r="172" spans="1:7" x14ac:dyDescent="0.25">
      <c r="A172" s="15" t="s">
        <v>18</v>
      </c>
      <c r="B172" s="16">
        <v>2197039</v>
      </c>
      <c r="C172" s="16">
        <v>1009648</v>
      </c>
      <c r="D172" s="16">
        <v>670258.56999999995</v>
      </c>
      <c r="E172" s="16">
        <v>670258.56999999995</v>
      </c>
      <c r="F172" s="17">
        <f t="shared" si="4"/>
        <v>0.66385370941159683</v>
      </c>
      <c r="G172" s="17">
        <f t="shared" si="5"/>
        <v>0.30507358767868936</v>
      </c>
    </row>
    <row r="173" spans="1:7" x14ac:dyDescent="0.25">
      <c r="A173" s="15" t="s">
        <v>19</v>
      </c>
      <c r="B173" s="16">
        <v>278416</v>
      </c>
      <c r="C173" s="16">
        <v>79002</v>
      </c>
      <c r="D173" s="16">
        <v>23193.94</v>
      </c>
      <c r="E173" s="16">
        <v>23193.94</v>
      </c>
      <c r="F173" s="17">
        <f t="shared" si="4"/>
        <v>0.29358674463937623</v>
      </c>
      <c r="G173" s="17">
        <f t="shared" si="5"/>
        <v>8.3306778346072058E-2</v>
      </c>
    </row>
    <row r="174" spans="1:7" x14ac:dyDescent="0.25">
      <c r="A174" s="15" t="s">
        <v>20</v>
      </c>
      <c r="B174" s="16">
        <v>1287817</v>
      </c>
      <c r="C174" s="16">
        <v>477500</v>
      </c>
      <c r="D174" s="16">
        <v>157682.21</v>
      </c>
      <c r="E174" s="16">
        <v>157682.21</v>
      </c>
      <c r="F174" s="17">
        <f t="shared" si="4"/>
        <v>0.33022452356020943</v>
      </c>
      <c r="G174" s="17">
        <f t="shared" si="5"/>
        <v>0.12244147266265315</v>
      </c>
    </row>
    <row r="175" spans="1:7" ht="24" x14ac:dyDescent="0.25">
      <c r="A175" s="15" t="s">
        <v>32</v>
      </c>
      <c r="B175" s="16">
        <v>56292</v>
      </c>
      <c r="C175" s="16">
        <v>14073</v>
      </c>
      <c r="D175" s="16">
        <v>13918.62</v>
      </c>
      <c r="E175" s="16">
        <v>13918.62</v>
      </c>
      <c r="F175" s="17">
        <f t="shared" si="4"/>
        <v>0.98903005755702411</v>
      </c>
      <c r="G175" s="17">
        <f t="shared" si="5"/>
        <v>0.24725751438925603</v>
      </c>
    </row>
    <row r="176" spans="1:7" ht="24" x14ac:dyDescent="0.25">
      <c r="A176" s="15" t="s">
        <v>21</v>
      </c>
      <c r="B176" s="16">
        <v>3000</v>
      </c>
      <c r="C176" s="16">
        <v>3000</v>
      </c>
      <c r="D176" s="18"/>
      <c r="E176" s="18"/>
      <c r="F176" s="17">
        <f t="shared" si="4"/>
        <v>0</v>
      </c>
      <c r="G176" s="17">
        <f t="shared" si="5"/>
        <v>0</v>
      </c>
    </row>
    <row r="177" spans="1:7" ht="24" x14ac:dyDescent="0.25">
      <c r="A177" s="10" t="s">
        <v>29</v>
      </c>
      <c r="B177" s="11">
        <v>785572237</v>
      </c>
      <c r="C177" s="11">
        <f>SUM(C178:C189)</f>
        <v>199923567</v>
      </c>
      <c r="D177" s="11">
        <v>167565952.43000001</v>
      </c>
      <c r="E177" s="11">
        <v>167552222.50999999</v>
      </c>
      <c r="F177" s="12">
        <f t="shared" si="4"/>
        <v>0.83815007377294348</v>
      </c>
      <c r="G177" s="12">
        <f t="shared" si="5"/>
        <v>0.21330432077120365</v>
      </c>
    </row>
    <row r="178" spans="1:7" x14ac:dyDescent="0.25">
      <c r="A178" s="15" t="s">
        <v>14</v>
      </c>
      <c r="B178" s="16">
        <v>451883607</v>
      </c>
      <c r="C178" s="16">
        <f>119167675-C133-C144-C156-C167-1781103</f>
        <v>96922989</v>
      </c>
      <c r="D178" s="16">
        <v>98704091.370000005</v>
      </c>
      <c r="E178" s="16">
        <v>98704091.370000005</v>
      </c>
      <c r="F178" s="17">
        <f t="shared" si="4"/>
        <v>1.0183764696938928</v>
      </c>
      <c r="G178" s="17">
        <f t="shared" si="5"/>
        <v>0.21842813025523186</v>
      </c>
    </row>
    <row r="179" spans="1:7" x14ac:dyDescent="0.25">
      <c r="A179" s="15" t="s">
        <v>15</v>
      </c>
      <c r="B179" s="16">
        <v>99414395</v>
      </c>
      <c r="C179" s="16">
        <f>25968358-C145-C157-C168-C134-392440</f>
        <v>21074529</v>
      </c>
      <c r="D179" s="16">
        <v>21466969</v>
      </c>
      <c r="E179" s="16">
        <v>21466969</v>
      </c>
      <c r="F179" s="17">
        <f t="shared" si="4"/>
        <v>1.0186215312332723</v>
      </c>
      <c r="G179" s="17">
        <f t="shared" si="5"/>
        <v>0.2159342115394858</v>
      </c>
    </row>
    <row r="180" spans="1:7" x14ac:dyDescent="0.25">
      <c r="A180" s="15" t="s">
        <v>16</v>
      </c>
      <c r="B180" s="16">
        <v>27383695</v>
      </c>
      <c r="C180" s="16">
        <f>7054000-C146-C158-C169-C135</f>
        <v>5167855</v>
      </c>
      <c r="D180" s="16">
        <v>13729.92</v>
      </c>
      <c r="E180" s="18"/>
      <c r="F180" s="17">
        <f t="shared" si="4"/>
        <v>2.6567928086217588E-3</v>
      </c>
      <c r="G180" s="17">
        <f t="shared" si="5"/>
        <v>5.0139033464987107E-4</v>
      </c>
    </row>
    <row r="181" spans="1:7" x14ac:dyDescent="0.25">
      <c r="A181" s="15" t="s">
        <v>36</v>
      </c>
      <c r="B181" s="16">
        <v>657800</v>
      </c>
      <c r="C181" s="16"/>
      <c r="D181" s="18"/>
      <c r="E181" s="18"/>
      <c r="F181" s="17"/>
      <c r="G181" s="17">
        <f t="shared" si="5"/>
        <v>0</v>
      </c>
    </row>
    <row r="182" spans="1:7" x14ac:dyDescent="0.25">
      <c r="A182" s="15" t="s">
        <v>42</v>
      </c>
      <c r="B182" s="16">
        <v>14678204</v>
      </c>
      <c r="C182" s="16">
        <f>8717210</f>
        <v>8717210</v>
      </c>
      <c r="D182" s="16">
        <v>8389205.5</v>
      </c>
      <c r="E182" s="16">
        <v>8389205.5</v>
      </c>
      <c r="F182" s="17">
        <f t="shared" si="4"/>
        <v>0.9623727660570297</v>
      </c>
      <c r="G182" s="17">
        <f t="shared" si="5"/>
        <v>0.57154168861531018</v>
      </c>
    </row>
    <row r="183" spans="1:7" x14ac:dyDescent="0.25">
      <c r="A183" s="15" t="s">
        <v>17</v>
      </c>
      <c r="B183" s="16">
        <v>84304086</v>
      </c>
      <c r="C183" s="16">
        <f>16475000-C137-C149-C160-C171</f>
        <v>12890000</v>
      </c>
      <c r="D183" s="16">
        <v>1016361.14</v>
      </c>
      <c r="E183" s="16">
        <v>1016361.14</v>
      </c>
      <c r="F183" s="17">
        <f t="shared" si="4"/>
        <v>7.8848808378588056E-2</v>
      </c>
      <c r="G183" s="17">
        <f t="shared" si="5"/>
        <v>1.2055894182875074E-2</v>
      </c>
    </row>
    <row r="184" spans="1:7" x14ac:dyDescent="0.25">
      <c r="A184" s="15" t="s">
        <v>18</v>
      </c>
      <c r="B184" s="16">
        <v>73264268</v>
      </c>
      <c r="C184" s="16">
        <f>49218150-C138-C150-C161-C172</f>
        <v>43254678</v>
      </c>
      <c r="D184" s="16">
        <v>30333106.07</v>
      </c>
      <c r="E184" s="16">
        <v>30333106.07</v>
      </c>
      <c r="F184" s="17">
        <f t="shared" si="4"/>
        <v>0.70126764254261698</v>
      </c>
      <c r="G184" s="17">
        <f t="shared" si="5"/>
        <v>0.41402319163278883</v>
      </c>
    </row>
    <row r="185" spans="1:7" x14ac:dyDescent="0.25">
      <c r="A185" s="15" t="s">
        <v>19</v>
      </c>
      <c r="B185" s="16">
        <v>4895701</v>
      </c>
      <c r="C185" s="16">
        <f>1645340-C139-C151-C162-C173</f>
        <v>1311603</v>
      </c>
      <c r="D185" s="16">
        <v>1254866.01</v>
      </c>
      <c r="E185" s="16">
        <v>1254866.01</v>
      </c>
      <c r="F185" s="17">
        <f t="shared" si="4"/>
        <v>0.95674225356300646</v>
      </c>
      <c r="G185" s="17">
        <f t="shared" si="5"/>
        <v>0.2563199856363777</v>
      </c>
    </row>
    <row r="186" spans="1:7" x14ac:dyDescent="0.25">
      <c r="A186" s="15" t="s">
        <v>20</v>
      </c>
      <c r="B186" s="16">
        <v>27933653</v>
      </c>
      <c r="C186" s="16">
        <f>12958560-C140-C152-C163-C174</f>
        <v>10080713</v>
      </c>
      <c r="D186" s="16">
        <v>6191504.7400000002</v>
      </c>
      <c r="E186" s="16">
        <v>6191504.7400000002</v>
      </c>
      <c r="F186" s="17">
        <f t="shared" si="4"/>
        <v>0.61419313693386568</v>
      </c>
      <c r="G186" s="17">
        <f t="shared" si="5"/>
        <v>0.22165037777192981</v>
      </c>
    </row>
    <row r="187" spans="1:7" x14ac:dyDescent="0.25">
      <c r="A187" s="15" t="s">
        <v>39</v>
      </c>
      <c r="B187" s="16">
        <v>1500</v>
      </c>
      <c r="C187" s="16">
        <v>644</v>
      </c>
      <c r="D187" s="18"/>
      <c r="E187" s="18"/>
      <c r="F187" s="17">
        <f t="shared" si="4"/>
        <v>0</v>
      </c>
      <c r="G187" s="17">
        <f t="shared" si="5"/>
        <v>0</v>
      </c>
    </row>
    <row r="188" spans="1:7" ht="24" x14ac:dyDescent="0.25">
      <c r="A188" s="15" t="s">
        <v>32</v>
      </c>
      <c r="B188" s="16">
        <v>1017328</v>
      </c>
      <c r="C188" s="16">
        <f>432590-C141-C164-C153-C175</f>
        <v>365346</v>
      </c>
      <c r="D188" s="16">
        <v>196118.68</v>
      </c>
      <c r="E188" s="16">
        <v>196118.68</v>
      </c>
      <c r="F188" s="17">
        <f t="shared" si="4"/>
        <v>0.53680259261084007</v>
      </c>
      <c r="G188" s="17">
        <f t="shared" si="5"/>
        <v>0.19277821902080744</v>
      </c>
    </row>
    <row r="189" spans="1:7" ht="24" x14ac:dyDescent="0.25">
      <c r="A189" s="15" t="s">
        <v>21</v>
      </c>
      <c r="B189" s="16">
        <v>138000</v>
      </c>
      <c r="C189" s="16">
        <f>150000-C142-C154-C165-C176</f>
        <v>138000</v>
      </c>
      <c r="D189" s="18"/>
      <c r="E189" s="18"/>
      <c r="F189" s="17">
        <f t="shared" si="4"/>
        <v>0</v>
      </c>
      <c r="G189" s="17">
        <f t="shared" si="5"/>
        <v>0</v>
      </c>
    </row>
    <row r="190" spans="1:7" ht="72" x14ac:dyDescent="0.25">
      <c r="A190" s="10" t="s">
        <v>44</v>
      </c>
      <c r="B190" s="11">
        <v>47046553</v>
      </c>
      <c r="C190" s="11">
        <f>C191</f>
        <v>13699867</v>
      </c>
      <c r="D190" s="11">
        <v>11005176.630000001</v>
      </c>
      <c r="E190" s="11">
        <v>11005176.630000001</v>
      </c>
      <c r="F190" s="12">
        <f t="shared" si="4"/>
        <v>0.80330536274549236</v>
      </c>
      <c r="G190" s="12">
        <f t="shared" si="5"/>
        <v>0.23392099799532606</v>
      </c>
    </row>
    <row r="191" spans="1:7" ht="24" x14ac:dyDescent="0.25">
      <c r="A191" s="10" t="s">
        <v>29</v>
      </c>
      <c r="B191" s="11">
        <v>47046553</v>
      </c>
      <c r="C191" s="11">
        <f>SUM(C192:C203)</f>
        <v>13699867</v>
      </c>
      <c r="D191" s="11">
        <v>11005176.630000001</v>
      </c>
      <c r="E191" s="11">
        <v>11005176.630000001</v>
      </c>
      <c r="F191" s="12">
        <f t="shared" si="4"/>
        <v>0.80330536274549236</v>
      </c>
      <c r="G191" s="12">
        <f t="shared" si="5"/>
        <v>0.23392099799532606</v>
      </c>
    </row>
    <row r="192" spans="1:7" x14ac:dyDescent="0.25">
      <c r="A192" s="15" t="s">
        <v>14</v>
      </c>
      <c r="B192" s="16">
        <v>26855926</v>
      </c>
      <c r="C192" s="16">
        <v>6195026</v>
      </c>
      <c r="D192" s="16">
        <v>6195026</v>
      </c>
      <c r="E192" s="16">
        <v>6195026</v>
      </c>
      <c r="F192" s="17">
        <f t="shared" si="4"/>
        <v>1</v>
      </c>
      <c r="G192" s="17">
        <f t="shared" si="5"/>
        <v>0.23067631330232291</v>
      </c>
    </row>
    <row r="193" spans="1:7" x14ac:dyDescent="0.25">
      <c r="A193" s="15" t="s">
        <v>15</v>
      </c>
      <c r="B193" s="16">
        <v>5908305</v>
      </c>
      <c r="C193" s="16">
        <v>1362906</v>
      </c>
      <c r="D193" s="16">
        <v>1362906</v>
      </c>
      <c r="E193" s="16">
        <v>1362906</v>
      </c>
      <c r="F193" s="17">
        <f t="shared" si="4"/>
        <v>1</v>
      </c>
      <c r="G193" s="17">
        <f t="shared" si="5"/>
        <v>0.23067631071855635</v>
      </c>
    </row>
    <row r="194" spans="1:7" x14ac:dyDescent="0.25">
      <c r="A194" s="15" t="s">
        <v>16</v>
      </c>
      <c r="B194" s="16">
        <v>1179500</v>
      </c>
      <c r="C194" s="16">
        <v>579500</v>
      </c>
      <c r="D194" s="18"/>
      <c r="E194" s="18"/>
      <c r="F194" s="17">
        <f t="shared" si="4"/>
        <v>0</v>
      </c>
      <c r="G194" s="17">
        <f t="shared" si="5"/>
        <v>0</v>
      </c>
    </row>
    <row r="195" spans="1:7" x14ac:dyDescent="0.25">
      <c r="A195" s="15" t="s">
        <v>36</v>
      </c>
      <c r="B195" s="16">
        <v>30000</v>
      </c>
      <c r="C195" s="16"/>
      <c r="D195" s="18"/>
      <c r="E195" s="18"/>
      <c r="F195" s="17"/>
      <c r="G195" s="17">
        <f t="shared" si="5"/>
        <v>0</v>
      </c>
    </row>
    <row r="196" spans="1:7" x14ac:dyDescent="0.25">
      <c r="A196" s="15" t="s">
        <v>42</v>
      </c>
      <c r="B196" s="16">
        <v>2577510</v>
      </c>
      <c r="C196" s="16">
        <v>730000</v>
      </c>
      <c r="D196" s="16">
        <v>730000</v>
      </c>
      <c r="E196" s="16">
        <v>730000</v>
      </c>
      <c r="F196" s="17">
        <f t="shared" si="4"/>
        <v>1</v>
      </c>
      <c r="G196" s="17">
        <f t="shared" si="5"/>
        <v>0.28321907577468175</v>
      </c>
    </row>
    <row r="197" spans="1:7" x14ac:dyDescent="0.25">
      <c r="A197" s="15" t="s">
        <v>17</v>
      </c>
      <c r="B197" s="16">
        <v>3025300</v>
      </c>
      <c r="C197" s="16">
        <v>900000</v>
      </c>
      <c r="D197" s="16">
        <v>49331.47</v>
      </c>
      <c r="E197" s="16">
        <v>49331.47</v>
      </c>
      <c r="F197" s="17">
        <f t="shared" si="4"/>
        <v>5.4812744444444443E-2</v>
      </c>
      <c r="G197" s="17">
        <f t="shared" si="5"/>
        <v>1.6306306812547515E-2</v>
      </c>
    </row>
    <row r="198" spans="1:7" x14ac:dyDescent="0.25">
      <c r="A198" s="15" t="s">
        <v>18</v>
      </c>
      <c r="B198" s="16">
        <v>6041227</v>
      </c>
      <c r="C198" s="16">
        <v>3435549</v>
      </c>
      <c r="D198" s="16">
        <v>2407079.38</v>
      </c>
      <c r="E198" s="16">
        <v>2407079.38</v>
      </c>
      <c r="F198" s="17">
        <f t="shared" ref="F198:F261" si="6">D198/C198</f>
        <v>0.70063893136147959</v>
      </c>
      <c r="G198" s="17">
        <f t="shared" ref="G198:G261" si="7">D198/B198</f>
        <v>0.39844213435449455</v>
      </c>
    </row>
    <row r="199" spans="1:7" x14ac:dyDescent="0.25">
      <c r="A199" s="15" t="s">
        <v>19</v>
      </c>
      <c r="B199" s="16">
        <v>285424</v>
      </c>
      <c r="C199" s="16">
        <v>74131</v>
      </c>
      <c r="D199" s="16">
        <v>52600.23</v>
      </c>
      <c r="E199" s="16">
        <v>52600.23</v>
      </c>
      <c r="F199" s="17">
        <f t="shared" si="6"/>
        <v>0.70955780982315098</v>
      </c>
      <c r="G199" s="17">
        <f t="shared" si="7"/>
        <v>0.18428804165031673</v>
      </c>
    </row>
    <row r="200" spans="1:7" x14ac:dyDescent="0.25">
      <c r="A200" s="15" t="s">
        <v>20</v>
      </c>
      <c r="B200" s="16">
        <v>1091140</v>
      </c>
      <c r="C200" s="16">
        <v>401000</v>
      </c>
      <c r="D200" s="16">
        <v>205074.11</v>
      </c>
      <c r="E200" s="16">
        <v>205074.11</v>
      </c>
      <c r="F200" s="17">
        <f t="shared" si="6"/>
        <v>0.51140675810473812</v>
      </c>
      <c r="G200" s="17">
        <f t="shared" si="7"/>
        <v>0.18794481917994024</v>
      </c>
    </row>
    <row r="201" spans="1:7" x14ac:dyDescent="0.25">
      <c r="A201" s="15" t="s">
        <v>39</v>
      </c>
      <c r="B201" s="16">
        <v>2000</v>
      </c>
      <c r="C201" s="16">
        <v>1008</v>
      </c>
      <c r="D201" s="19">
        <v>66.12</v>
      </c>
      <c r="E201" s="19">
        <v>66.12</v>
      </c>
      <c r="F201" s="17">
        <f t="shared" si="6"/>
        <v>6.5595238095238095E-2</v>
      </c>
      <c r="G201" s="17">
        <f t="shared" si="7"/>
        <v>3.3059999999999999E-2</v>
      </c>
    </row>
    <row r="202" spans="1:7" ht="24" x14ac:dyDescent="0.25">
      <c r="A202" s="15" t="s">
        <v>32</v>
      </c>
      <c r="B202" s="16">
        <v>44221</v>
      </c>
      <c r="C202" s="16">
        <v>14747</v>
      </c>
      <c r="D202" s="16">
        <v>3093.32</v>
      </c>
      <c r="E202" s="16">
        <v>3093.32</v>
      </c>
      <c r="F202" s="17">
        <f t="shared" si="6"/>
        <v>0.20975927307248934</v>
      </c>
      <c r="G202" s="17">
        <f t="shared" si="7"/>
        <v>6.995138056579453E-2</v>
      </c>
    </row>
    <row r="203" spans="1:7" ht="24" x14ac:dyDescent="0.25">
      <c r="A203" s="15" t="s">
        <v>21</v>
      </c>
      <c r="B203" s="16">
        <v>6000</v>
      </c>
      <c r="C203" s="16">
        <v>6000</v>
      </c>
      <c r="D203" s="18"/>
      <c r="E203" s="18"/>
      <c r="F203" s="17">
        <f t="shared" si="6"/>
        <v>0</v>
      </c>
      <c r="G203" s="17">
        <f t="shared" si="7"/>
        <v>0</v>
      </c>
    </row>
    <row r="204" spans="1:7" ht="36" x14ac:dyDescent="0.25">
      <c r="A204" s="10" t="s">
        <v>45</v>
      </c>
      <c r="B204" s="11">
        <v>57752620</v>
      </c>
      <c r="C204" s="11">
        <f>C205+C216</f>
        <v>16698493</v>
      </c>
      <c r="D204" s="11">
        <v>9797772.3599999994</v>
      </c>
      <c r="E204" s="11">
        <v>9723891.3599999994</v>
      </c>
      <c r="F204" s="12">
        <f t="shared" si="6"/>
        <v>0.58674590335786581</v>
      </c>
      <c r="G204" s="12">
        <f t="shared" si="7"/>
        <v>0.16965069913711273</v>
      </c>
    </row>
    <row r="205" spans="1:7" ht="24" x14ac:dyDescent="0.25">
      <c r="A205" s="10" t="s">
        <v>29</v>
      </c>
      <c r="B205" s="11">
        <v>25563958</v>
      </c>
      <c r="C205" s="11">
        <f>SUM(C206:C215)</f>
        <v>6356760</v>
      </c>
      <c r="D205" s="11">
        <v>4308536.5999999996</v>
      </c>
      <c r="E205" s="11">
        <v>4308536.5999999996</v>
      </c>
      <c r="F205" s="12">
        <f t="shared" si="6"/>
        <v>0.67778814993801872</v>
      </c>
      <c r="G205" s="12">
        <f t="shared" si="7"/>
        <v>0.16853949611402114</v>
      </c>
    </row>
    <row r="206" spans="1:7" x14ac:dyDescent="0.25">
      <c r="A206" s="15" t="s">
        <v>14</v>
      </c>
      <c r="B206" s="16">
        <v>15474362</v>
      </c>
      <c r="C206" s="16">
        <f>7102520-C217</f>
        <v>2920620</v>
      </c>
      <c r="D206" s="16">
        <v>2737309.88</v>
      </c>
      <c r="E206" s="16">
        <v>2737309.88</v>
      </c>
      <c r="F206" s="17">
        <f t="shared" si="6"/>
        <v>0.93723588827029869</v>
      </c>
      <c r="G206" s="17">
        <f t="shared" si="7"/>
        <v>0.17689323023462938</v>
      </c>
    </row>
    <row r="207" spans="1:7" x14ac:dyDescent="0.25">
      <c r="A207" s="15" t="s">
        <v>15</v>
      </c>
      <c r="B207" s="16">
        <v>3404359</v>
      </c>
      <c r="C207" s="16">
        <f>1569478-C218</f>
        <v>649460</v>
      </c>
      <c r="D207" s="16">
        <v>609912.29</v>
      </c>
      <c r="E207" s="16">
        <v>609912.29</v>
      </c>
      <c r="F207" s="17">
        <f t="shared" si="6"/>
        <v>0.93910678101807665</v>
      </c>
      <c r="G207" s="17">
        <f t="shared" si="7"/>
        <v>0.17915627875908505</v>
      </c>
    </row>
    <row r="208" spans="1:7" x14ac:dyDescent="0.25">
      <c r="A208" s="15" t="s">
        <v>16</v>
      </c>
      <c r="B208" s="16">
        <v>1200000</v>
      </c>
      <c r="C208" s="16">
        <f>2800000-C219</f>
        <v>900000</v>
      </c>
      <c r="D208" s="18"/>
      <c r="E208" s="18"/>
      <c r="F208" s="17">
        <f t="shared" si="6"/>
        <v>0</v>
      </c>
      <c r="G208" s="17">
        <f t="shared" si="7"/>
        <v>0</v>
      </c>
    </row>
    <row r="209" spans="1:7" x14ac:dyDescent="0.25">
      <c r="A209" s="15" t="s">
        <v>36</v>
      </c>
      <c r="B209" s="16">
        <v>15000</v>
      </c>
      <c r="C209" s="16"/>
      <c r="D209" s="18"/>
      <c r="E209" s="18"/>
      <c r="F209" s="17"/>
      <c r="G209" s="17">
        <f t="shared" si="7"/>
        <v>0</v>
      </c>
    </row>
    <row r="210" spans="1:7" x14ac:dyDescent="0.25">
      <c r="A210" s="15" t="s">
        <v>17</v>
      </c>
      <c r="B210" s="16">
        <v>2793995</v>
      </c>
      <c r="C210" s="16">
        <f>3240000-C221</f>
        <v>640000</v>
      </c>
      <c r="D210" s="16">
        <v>66704.320000000007</v>
      </c>
      <c r="E210" s="16">
        <v>66704.320000000007</v>
      </c>
      <c r="F210" s="17">
        <f t="shared" si="6"/>
        <v>0.10422550000000001</v>
      </c>
      <c r="G210" s="17">
        <f t="shared" si="7"/>
        <v>2.3874173003172877E-2</v>
      </c>
    </row>
    <row r="211" spans="1:7" x14ac:dyDescent="0.25">
      <c r="A211" s="15" t="s">
        <v>18</v>
      </c>
      <c r="B211" s="16">
        <v>2082525</v>
      </c>
      <c r="C211" s="16">
        <f>1411841-C222</f>
        <v>1049527</v>
      </c>
      <c r="D211" s="16">
        <v>777333.65</v>
      </c>
      <c r="E211" s="16">
        <v>777333.65</v>
      </c>
      <c r="F211" s="17">
        <f t="shared" si="6"/>
        <v>0.74065140772938665</v>
      </c>
      <c r="G211" s="17">
        <f t="shared" si="7"/>
        <v>0.373264978811779</v>
      </c>
    </row>
    <row r="212" spans="1:7" x14ac:dyDescent="0.25">
      <c r="A212" s="15" t="s">
        <v>19</v>
      </c>
      <c r="B212" s="16">
        <v>45606</v>
      </c>
      <c r="C212" s="16">
        <f>26006-C223</f>
        <v>11496</v>
      </c>
      <c r="D212" s="16">
        <v>8154.68</v>
      </c>
      <c r="E212" s="16">
        <v>8154.68</v>
      </c>
      <c r="F212" s="17">
        <f t="shared" si="6"/>
        <v>0.70934933890048713</v>
      </c>
      <c r="G212" s="17">
        <f t="shared" si="7"/>
        <v>0.17880717449458405</v>
      </c>
    </row>
    <row r="213" spans="1:7" x14ac:dyDescent="0.25">
      <c r="A213" s="15" t="s">
        <v>20</v>
      </c>
      <c r="B213" s="16">
        <v>525020</v>
      </c>
      <c r="C213" s="16">
        <f>527000-C224</f>
        <v>176000</v>
      </c>
      <c r="D213" s="16">
        <v>107492.9</v>
      </c>
      <c r="E213" s="16">
        <v>107492.9</v>
      </c>
      <c r="F213" s="17">
        <f t="shared" si="6"/>
        <v>0.61075511363636359</v>
      </c>
      <c r="G213" s="17">
        <f t="shared" si="7"/>
        <v>0.20474058131118814</v>
      </c>
    </row>
    <row r="214" spans="1:7" ht="24" x14ac:dyDescent="0.25">
      <c r="A214" s="15" t="s">
        <v>32</v>
      </c>
      <c r="B214" s="16">
        <v>20091</v>
      </c>
      <c r="C214" s="16">
        <f>15648-C225</f>
        <v>6657</v>
      </c>
      <c r="D214" s="16">
        <v>1628.88</v>
      </c>
      <c r="E214" s="16">
        <v>1628.88</v>
      </c>
      <c r="F214" s="17">
        <f t="shared" si="6"/>
        <v>0.24468679585398831</v>
      </c>
      <c r="G214" s="17">
        <f t="shared" si="7"/>
        <v>8.107510825742871E-2</v>
      </c>
    </row>
    <row r="215" spans="1:7" ht="24" x14ac:dyDescent="0.25">
      <c r="A215" s="15" t="s">
        <v>21</v>
      </c>
      <c r="B215" s="16">
        <v>3000</v>
      </c>
      <c r="C215" s="16">
        <f>6000-C226</f>
        <v>3000</v>
      </c>
      <c r="D215" s="18"/>
      <c r="E215" s="18"/>
      <c r="F215" s="17">
        <f t="shared" si="6"/>
        <v>0</v>
      </c>
      <c r="G215" s="17">
        <f t="shared" si="7"/>
        <v>0</v>
      </c>
    </row>
    <row r="216" spans="1:7" x14ac:dyDescent="0.25">
      <c r="A216" s="10" t="s">
        <v>46</v>
      </c>
      <c r="B216" s="11">
        <v>32188662</v>
      </c>
      <c r="C216" s="11">
        <v>10341733</v>
      </c>
      <c r="D216" s="11">
        <v>5489235.7599999998</v>
      </c>
      <c r="E216" s="11">
        <v>5415354.7599999998</v>
      </c>
      <c r="F216" s="12">
        <f t="shared" si="6"/>
        <v>0.5307849042322017</v>
      </c>
      <c r="G216" s="12">
        <f t="shared" si="7"/>
        <v>0.17053320700313668</v>
      </c>
    </row>
    <row r="217" spans="1:7" x14ac:dyDescent="0.25">
      <c r="A217" s="15" t="s">
        <v>14</v>
      </c>
      <c r="B217" s="16">
        <v>19599000</v>
      </c>
      <c r="C217" s="16">
        <v>4181900</v>
      </c>
      <c r="D217" s="16">
        <v>4019920.12</v>
      </c>
      <c r="E217" s="16">
        <v>4019920.12</v>
      </c>
      <c r="F217" s="17">
        <f t="shared" si="6"/>
        <v>0.96126643870011241</v>
      </c>
      <c r="G217" s="17">
        <f t="shared" si="7"/>
        <v>0.2051084300219399</v>
      </c>
    </row>
    <row r="218" spans="1:7" x14ac:dyDescent="0.25">
      <c r="A218" s="15" t="s">
        <v>15</v>
      </c>
      <c r="B218" s="16">
        <v>4311780</v>
      </c>
      <c r="C218" s="16">
        <v>920018</v>
      </c>
      <c r="D218" s="16">
        <v>901156.41</v>
      </c>
      <c r="E218" s="16">
        <v>901156.41</v>
      </c>
      <c r="F218" s="17">
        <f t="shared" si="6"/>
        <v>0.97949867285205294</v>
      </c>
      <c r="G218" s="17">
        <f t="shared" si="7"/>
        <v>0.20899869891320985</v>
      </c>
    </row>
    <row r="219" spans="1:7" x14ac:dyDescent="0.25">
      <c r="A219" s="15" t="s">
        <v>16</v>
      </c>
      <c r="B219" s="16">
        <v>2149400</v>
      </c>
      <c r="C219" s="16">
        <v>1900000</v>
      </c>
      <c r="D219" s="16">
        <v>266169.71999999997</v>
      </c>
      <c r="E219" s="16">
        <v>192288.72</v>
      </c>
      <c r="F219" s="17">
        <f t="shared" si="6"/>
        <v>0.14008932631578946</v>
      </c>
      <c r="G219" s="17">
        <f t="shared" si="7"/>
        <v>0.12383442821252441</v>
      </c>
    </row>
    <row r="220" spans="1:7" x14ac:dyDescent="0.25">
      <c r="A220" s="15" t="s">
        <v>36</v>
      </c>
      <c r="B220" s="16">
        <v>15000</v>
      </c>
      <c r="C220" s="18"/>
      <c r="D220" s="18"/>
      <c r="E220" s="18"/>
      <c r="F220" s="17"/>
      <c r="G220" s="17">
        <f t="shared" si="7"/>
        <v>0</v>
      </c>
    </row>
    <row r="221" spans="1:7" x14ac:dyDescent="0.25">
      <c r="A221" s="15" t="s">
        <v>17</v>
      </c>
      <c r="B221" s="16">
        <v>4254705</v>
      </c>
      <c r="C221" s="16">
        <v>2600000</v>
      </c>
      <c r="D221" s="16">
        <v>3600</v>
      </c>
      <c r="E221" s="16">
        <v>3600</v>
      </c>
      <c r="F221" s="17">
        <f t="shared" si="6"/>
        <v>1.3846153846153845E-3</v>
      </c>
      <c r="G221" s="17">
        <f t="shared" si="7"/>
        <v>8.4612211657447462E-4</v>
      </c>
    </row>
    <row r="222" spans="1:7" x14ac:dyDescent="0.25">
      <c r="A222" s="15" t="s">
        <v>18</v>
      </c>
      <c r="B222" s="16">
        <v>703378</v>
      </c>
      <c r="C222" s="16">
        <v>362314</v>
      </c>
      <c r="D222" s="16">
        <v>171911.71</v>
      </c>
      <c r="E222" s="16">
        <v>171911.71</v>
      </c>
      <c r="F222" s="17">
        <f t="shared" si="6"/>
        <v>0.47448265868832007</v>
      </c>
      <c r="G222" s="17">
        <f t="shared" si="7"/>
        <v>0.24440871053686636</v>
      </c>
    </row>
    <row r="223" spans="1:7" x14ac:dyDescent="0.25">
      <c r="A223" s="15" t="s">
        <v>19</v>
      </c>
      <c r="B223" s="16">
        <v>46435</v>
      </c>
      <c r="C223" s="16">
        <v>14510</v>
      </c>
      <c r="D223" s="16">
        <v>13927.82</v>
      </c>
      <c r="E223" s="16">
        <v>13927.82</v>
      </c>
      <c r="F223" s="17">
        <f t="shared" si="6"/>
        <v>0.95987732598208131</v>
      </c>
      <c r="G223" s="17">
        <f t="shared" si="7"/>
        <v>0.29994228491439645</v>
      </c>
    </row>
    <row r="224" spans="1:7" x14ac:dyDescent="0.25">
      <c r="A224" s="15" t="s">
        <v>20</v>
      </c>
      <c r="B224" s="16">
        <v>1070000</v>
      </c>
      <c r="C224" s="16">
        <v>351000</v>
      </c>
      <c r="D224" s="16">
        <v>109765.44</v>
      </c>
      <c r="E224" s="16">
        <v>109765.44</v>
      </c>
      <c r="F224" s="17">
        <f t="shared" si="6"/>
        <v>0.31272205128205127</v>
      </c>
      <c r="G224" s="17">
        <f t="shared" si="7"/>
        <v>0.10258452336448598</v>
      </c>
    </row>
    <row r="225" spans="1:7" ht="24" x14ac:dyDescent="0.25">
      <c r="A225" s="15" t="s">
        <v>32</v>
      </c>
      <c r="B225" s="16">
        <v>35964</v>
      </c>
      <c r="C225" s="16">
        <v>8991</v>
      </c>
      <c r="D225" s="16">
        <v>2784.54</v>
      </c>
      <c r="E225" s="16">
        <v>2784.54</v>
      </c>
      <c r="F225" s="17">
        <f t="shared" si="6"/>
        <v>0.30970303636970303</v>
      </c>
      <c r="G225" s="17">
        <f t="shared" si="7"/>
        <v>7.7425759092425758E-2</v>
      </c>
    </row>
    <row r="226" spans="1:7" ht="24" x14ac:dyDescent="0.25">
      <c r="A226" s="15" t="s">
        <v>21</v>
      </c>
      <c r="B226" s="16">
        <v>3000</v>
      </c>
      <c r="C226" s="16">
        <v>3000</v>
      </c>
      <c r="D226" s="18"/>
      <c r="E226" s="18"/>
      <c r="F226" s="17">
        <f t="shared" si="6"/>
        <v>0</v>
      </c>
      <c r="G226" s="17">
        <f t="shared" si="7"/>
        <v>0</v>
      </c>
    </row>
    <row r="227" spans="1:7" ht="24" x14ac:dyDescent="0.25">
      <c r="A227" s="10" t="s">
        <v>47</v>
      </c>
      <c r="B227" s="11">
        <v>467738053</v>
      </c>
      <c r="C227" s="11">
        <v>161071472</v>
      </c>
      <c r="D227" s="11">
        <v>161071472</v>
      </c>
      <c r="E227" s="11">
        <v>159627754</v>
      </c>
      <c r="F227" s="12">
        <f t="shared" si="6"/>
        <v>1</v>
      </c>
      <c r="G227" s="12">
        <f t="shared" si="7"/>
        <v>0.34436255713408892</v>
      </c>
    </row>
    <row r="228" spans="1:7" ht="36" x14ac:dyDescent="0.25">
      <c r="A228" s="10" t="s">
        <v>48</v>
      </c>
      <c r="B228" s="11">
        <v>133712</v>
      </c>
      <c r="C228" s="11">
        <v>133712</v>
      </c>
      <c r="D228" s="11">
        <v>133712</v>
      </c>
      <c r="E228" s="11">
        <v>133712</v>
      </c>
      <c r="F228" s="12">
        <f t="shared" si="6"/>
        <v>1</v>
      </c>
      <c r="G228" s="12">
        <f t="shared" si="7"/>
        <v>1</v>
      </c>
    </row>
    <row r="229" spans="1:7" ht="24" x14ac:dyDescent="0.25">
      <c r="A229" s="15" t="s">
        <v>49</v>
      </c>
      <c r="B229" s="16">
        <v>133712</v>
      </c>
      <c r="C229" s="16">
        <v>133712</v>
      </c>
      <c r="D229" s="16">
        <v>133712</v>
      </c>
      <c r="E229" s="16">
        <v>133712</v>
      </c>
      <c r="F229" s="17">
        <f t="shared" si="6"/>
        <v>1</v>
      </c>
      <c r="G229" s="17">
        <f t="shared" si="7"/>
        <v>1</v>
      </c>
    </row>
    <row r="230" spans="1:7" x14ac:dyDescent="0.25">
      <c r="A230" s="10" t="s">
        <v>50</v>
      </c>
      <c r="B230" s="11">
        <v>25070</v>
      </c>
      <c r="C230" s="11">
        <v>25070</v>
      </c>
      <c r="D230" s="11">
        <v>25070</v>
      </c>
      <c r="E230" s="11">
        <v>25070</v>
      </c>
      <c r="F230" s="12">
        <f t="shared" si="6"/>
        <v>1</v>
      </c>
      <c r="G230" s="12">
        <f t="shared" si="7"/>
        <v>1</v>
      </c>
    </row>
    <row r="231" spans="1:7" ht="24" x14ac:dyDescent="0.25">
      <c r="A231" s="15" t="s">
        <v>49</v>
      </c>
      <c r="B231" s="16">
        <v>25070</v>
      </c>
      <c r="C231" s="16">
        <v>25070</v>
      </c>
      <c r="D231" s="16">
        <v>25070</v>
      </c>
      <c r="E231" s="16">
        <v>25070</v>
      </c>
      <c r="F231" s="17">
        <f t="shared" si="6"/>
        <v>1</v>
      </c>
      <c r="G231" s="17">
        <f t="shared" si="7"/>
        <v>1</v>
      </c>
    </row>
    <row r="232" spans="1:7" ht="24" x14ac:dyDescent="0.25">
      <c r="A232" s="10" t="s">
        <v>51</v>
      </c>
      <c r="B232" s="11">
        <v>88080</v>
      </c>
      <c r="C232" s="11">
        <v>88080</v>
      </c>
      <c r="D232" s="11">
        <v>88080</v>
      </c>
      <c r="E232" s="11">
        <v>88080</v>
      </c>
      <c r="F232" s="12">
        <f t="shared" si="6"/>
        <v>1</v>
      </c>
      <c r="G232" s="12">
        <f t="shared" si="7"/>
        <v>1</v>
      </c>
    </row>
    <row r="233" spans="1:7" ht="24" x14ac:dyDescent="0.25">
      <c r="A233" s="15" t="s">
        <v>49</v>
      </c>
      <c r="B233" s="16">
        <v>88080</v>
      </c>
      <c r="C233" s="16">
        <v>88080</v>
      </c>
      <c r="D233" s="16">
        <v>88080</v>
      </c>
      <c r="E233" s="16">
        <v>88080</v>
      </c>
      <c r="F233" s="17">
        <f t="shared" si="6"/>
        <v>1</v>
      </c>
      <c r="G233" s="17">
        <f t="shared" si="7"/>
        <v>1</v>
      </c>
    </row>
    <row r="234" spans="1:7" ht="24" x14ac:dyDescent="0.25">
      <c r="A234" s="10" t="s">
        <v>52</v>
      </c>
      <c r="B234" s="11">
        <v>85238</v>
      </c>
      <c r="C234" s="11">
        <v>85238</v>
      </c>
      <c r="D234" s="11">
        <v>85238</v>
      </c>
      <c r="E234" s="11">
        <v>85238</v>
      </c>
      <c r="F234" s="12">
        <f t="shared" si="6"/>
        <v>1</v>
      </c>
      <c r="G234" s="12">
        <f t="shared" si="7"/>
        <v>1</v>
      </c>
    </row>
    <row r="235" spans="1:7" ht="24" x14ac:dyDescent="0.25">
      <c r="A235" s="15" t="s">
        <v>49</v>
      </c>
      <c r="B235" s="16">
        <v>85238</v>
      </c>
      <c r="C235" s="16">
        <v>85238</v>
      </c>
      <c r="D235" s="16">
        <v>85238</v>
      </c>
      <c r="E235" s="16">
        <v>85238</v>
      </c>
      <c r="F235" s="17">
        <f t="shared" si="6"/>
        <v>1</v>
      </c>
      <c r="G235" s="17">
        <f t="shared" si="7"/>
        <v>1</v>
      </c>
    </row>
    <row r="236" spans="1:7" ht="24" x14ac:dyDescent="0.25">
      <c r="A236" s="10" t="s">
        <v>53</v>
      </c>
      <c r="B236" s="11">
        <v>1759661</v>
      </c>
      <c r="C236" s="11">
        <v>1759661</v>
      </c>
      <c r="D236" s="11">
        <v>1759661</v>
      </c>
      <c r="E236" s="11">
        <v>1759661</v>
      </c>
      <c r="F236" s="12">
        <f t="shared" si="6"/>
        <v>1</v>
      </c>
      <c r="G236" s="12">
        <f t="shared" si="7"/>
        <v>1</v>
      </c>
    </row>
    <row r="237" spans="1:7" ht="24" x14ac:dyDescent="0.25">
      <c r="A237" s="15" t="s">
        <v>49</v>
      </c>
      <c r="B237" s="16">
        <v>1759661</v>
      </c>
      <c r="C237" s="16">
        <v>1759661</v>
      </c>
      <c r="D237" s="16">
        <v>1759661</v>
      </c>
      <c r="E237" s="16">
        <v>1759661</v>
      </c>
      <c r="F237" s="17">
        <f t="shared" si="6"/>
        <v>1</v>
      </c>
      <c r="G237" s="17">
        <f t="shared" si="7"/>
        <v>1</v>
      </c>
    </row>
    <row r="238" spans="1:7" ht="24" x14ac:dyDescent="0.25">
      <c r="A238" s="10" t="s">
        <v>54</v>
      </c>
      <c r="B238" s="11">
        <v>4752181</v>
      </c>
      <c r="C238" s="11">
        <v>4752181</v>
      </c>
      <c r="D238" s="11">
        <v>4752181</v>
      </c>
      <c r="E238" s="11">
        <v>3308463</v>
      </c>
      <c r="F238" s="12">
        <f t="shared" si="6"/>
        <v>1</v>
      </c>
      <c r="G238" s="12">
        <f t="shared" si="7"/>
        <v>1</v>
      </c>
    </row>
    <row r="239" spans="1:7" ht="24" x14ac:dyDescent="0.25">
      <c r="A239" s="15" t="s">
        <v>49</v>
      </c>
      <c r="B239" s="16">
        <v>4752181</v>
      </c>
      <c r="C239" s="16">
        <v>4752181</v>
      </c>
      <c r="D239" s="16">
        <v>4752181</v>
      </c>
      <c r="E239" s="16">
        <v>3308463</v>
      </c>
      <c r="F239" s="17">
        <f t="shared" si="6"/>
        <v>1</v>
      </c>
      <c r="G239" s="17">
        <f t="shared" si="7"/>
        <v>1</v>
      </c>
    </row>
    <row r="240" spans="1:7" ht="24" x14ac:dyDescent="0.25">
      <c r="A240" s="10" t="s">
        <v>35</v>
      </c>
      <c r="B240" s="11">
        <v>20409151</v>
      </c>
      <c r="C240" s="11">
        <v>6942854</v>
      </c>
      <c r="D240" s="11">
        <v>6942854</v>
      </c>
      <c r="E240" s="11">
        <v>6942854</v>
      </c>
      <c r="F240" s="12">
        <f t="shared" si="6"/>
        <v>1</v>
      </c>
      <c r="G240" s="12">
        <f t="shared" si="7"/>
        <v>0.34018338146452048</v>
      </c>
    </row>
    <row r="241" spans="1:7" x14ac:dyDescent="0.25">
      <c r="A241" s="15" t="s">
        <v>14</v>
      </c>
      <c r="B241" s="16">
        <v>16728812</v>
      </c>
      <c r="C241" s="16">
        <v>5690864</v>
      </c>
      <c r="D241" s="16">
        <v>5690864</v>
      </c>
      <c r="E241" s="16">
        <v>5690864</v>
      </c>
      <c r="F241" s="17">
        <f t="shared" si="6"/>
        <v>1</v>
      </c>
      <c r="G241" s="17">
        <f t="shared" si="7"/>
        <v>0.34018339138487541</v>
      </c>
    </row>
    <row r="242" spans="1:7" x14ac:dyDescent="0.25">
      <c r="A242" s="15" t="s">
        <v>15</v>
      </c>
      <c r="B242" s="16">
        <v>3680339</v>
      </c>
      <c r="C242" s="16">
        <v>1251990</v>
      </c>
      <c r="D242" s="16">
        <v>1251990</v>
      </c>
      <c r="E242" s="16">
        <v>1251990</v>
      </c>
      <c r="F242" s="17">
        <f t="shared" si="6"/>
        <v>1</v>
      </c>
      <c r="G242" s="17">
        <f t="shared" si="7"/>
        <v>0.34018333637200271</v>
      </c>
    </row>
    <row r="243" spans="1:7" ht="24" x14ac:dyDescent="0.25">
      <c r="A243" s="10" t="s">
        <v>55</v>
      </c>
      <c r="B243" s="11">
        <v>180229</v>
      </c>
      <c r="C243" s="11">
        <v>180229</v>
      </c>
      <c r="D243" s="11">
        <v>180229</v>
      </c>
      <c r="E243" s="11">
        <v>180229</v>
      </c>
      <c r="F243" s="12">
        <f t="shared" si="6"/>
        <v>1</v>
      </c>
      <c r="G243" s="12">
        <f t="shared" si="7"/>
        <v>1</v>
      </c>
    </row>
    <row r="244" spans="1:7" ht="24" x14ac:dyDescent="0.25">
      <c r="A244" s="15" t="s">
        <v>49</v>
      </c>
      <c r="B244" s="16">
        <v>180229</v>
      </c>
      <c r="C244" s="16">
        <v>180229</v>
      </c>
      <c r="D244" s="16">
        <v>180229</v>
      </c>
      <c r="E244" s="16">
        <v>180229</v>
      </c>
      <c r="F244" s="17">
        <f t="shared" si="6"/>
        <v>1</v>
      </c>
      <c r="G244" s="17">
        <f t="shared" si="7"/>
        <v>1</v>
      </c>
    </row>
    <row r="245" spans="1:7" x14ac:dyDescent="0.25">
      <c r="A245" s="10" t="s">
        <v>41</v>
      </c>
      <c r="B245" s="11">
        <v>22855662</v>
      </c>
      <c r="C245" s="11">
        <v>5616592</v>
      </c>
      <c r="D245" s="11">
        <v>5616592</v>
      </c>
      <c r="E245" s="11">
        <v>5616592</v>
      </c>
      <c r="F245" s="12">
        <f t="shared" si="6"/>
        <v>1</v>
      </c>
      <c r="G245" s="12">
        <f t="shared" si="7"/>
        <v>0.24574182099822792</v>
      </c>
    </row>
    <row r="246" spans="1:7" x14ac:dyDescent="0.25">
      <c r="A246" s="15" t="s">
        <v>14</v>
      </c>
      <c r="B246" s="16">
        <v>18734149</v>
      </c>
      <c r="C246" s="16">
        <v>4603764</v>
      </c>
      <c r="D246" s="16">
        <v>4603764</v>
      </c>
      <c r="E246" s="16">
        <v>4603764</v>
      </c>
      <c r="F246" s="17">
        <f t="shared" si="6"/>
        <v>1</v>
      </c>
      <c r="G246" s="17">
        <f t="shared" si="7"/>
        <v>0.24574182686387303</v>
      </c>
    </row>
    <row r="247" spans="1:7" x14ac:dyDescent="0.25">
      <c r="A247" s="15" t="s">
        <v>15</v>
      </c>
      <c r="B247" s="16">
        <v>4121513</v>
      </c>
      <c r="C247" s="16">
        <v>1012828</v>
      </c>
      <c r="D247" s="16">
        <v>1012828</v>
      </c>
      <c r="E247" s="16">
        <v>1012828</v>
      </c>
      <c r="F247" s="17">
        <f t="shared" si="6"/>
        <v>1</v>
      </c>
      <c r="G247" s="17">
        <f t="shared" si="7"/>
        <v>0.24574179433620613</v>
      </c>
    </row>
    <row r="248" spans="1:7" x14ac:dyDescent="0.25">
      <c r="A248" s="10" t="s">
        <v>37</v>
      </c>
      <c r="B248" s="11">
        <v>20776492</v>
      </c>
      <c r="C248" s="11">
        <v>7141919</v>
      </c>
      <c r="D248" s="11">
        <v>7141919</v>
      </c>
      <c r="E248" s="11">
        <v>7141919</v>
      </c>
      <c r="F248" s="12">
        <f t="shared" si="6"/>
        <v>1</v>
      </c>
      <c r="G248" s="12">
        <f t="shared" si="7"/>
        <v>0.34374999398358491</v>
      </c>
    </row>
    <row r="249" spans="1:7" x14ac:dyDescent="0.25">
      <c r="A249" s="15" t="s">
        <v>14</v>
      </c>
      <c r="B249" s="16">
        <v>17029912</v>
      </c>
      <c r="C249" s="16">
        <v>5854032</v>
      </c>
      <c r="D249" s="16">
        <v>5854032</v>
      </c>
      <c r="E249" s="16">
        <v>5854032</v>
      </c>
      <c r="F249" s="17">
        <f t="shared" si="6"/>
        <v>1</v>
      </c>
      <c r="G249" s="17">
        <f t="shared" si="7"/>
        <v>0.3437499853199476</v>
      </c>
    </row>
    <row r="250" spans="1:7" x14ac:dyDescent="0.25">
      <c r="A250" s="15" t="s">
        <v>15</v>
      </c>
      <c r="B250" s="16">
        <v>3746580</v>
      </c>
      <c r="C250" s="16">
        <v>1287887</v>
      </c>
      <c r="D250" s="16">
        <v>1287887</v>
      </c>
      <c r="E250" s="16">
        <v>1287887</v>
      </c>
      <c r="F250" s="17">
        <f t="shared" si="6"/>
        <v>1</v>
      </c>
      <c r="G250" s="17">
        <f t="shared" si="7"/>
        <v>0.34375003336376109</v>
      </c>
    </row>
    <row r="251" spans="1:7" ht="24" x14ac:dyDescent="0.25">
      <c r="A251" s="10" t="s">
        <v>43</v>
      </c>
      <c r="B251" s="11">
        <v>13747561</v>
      </c>
      <c r="C251" s="11">
        <v>4676692</v>
      </c>
      <c r="D251" s="11">
        <v>4676692</v>
      </c>
      <c r="E251" s="11">
        <v>4676692</v>
      </c>
      <c r="F251" s="12">
        <f t="shared" si="6"/>
        <v>1</v>
      </c>
      <c r="G251" s="12">
        <f t="shared" si="7"/>
        <v>0.34018339689491101</v>
      </c>
    </row>
    <row r="252" spans="1:7" x14ac:dyDescent="0.25">
      <c r="A252" s="15" t="s">
        <v>14</v>
      </c>
      <c r="B252" s="16">
        <v>11268494</v>
      </c>
      <c r="C252" s="16">
        <v>3833355</v>
      </c>
      <c r="D252" s="16">
        <v>3833355</v>
      </c>
      <c r="E252" s="16">
        <v>3833355</v>
      </c>
      <c r="F252" s="17">
        <f t="shared" si="6"/>
        <v>1</v>
      </c>
      <c r="G252" s="17">
        <f t="shared" si="7"/>
        <v>0.3401834353374994</v>
      </c>
    </row>
    <row r="253" spans="1:7" x14ac:dyDescent="0.25">
      <c r="A253" s="15" t="s">
        <v>15</v>
      </c>
      <c r="B253" s="16">
        <v>2479067</v>
      </c>
      <c r="C253" s="16">
        <v>843337</v>
      </c>
      <c r="D253" s="16">
        <v>843337</v>
      </c>
      <c r="E253" s="16">
        <v>843337</v>
      </c>
      <c r="F253" s="17">
        <f t="shared" si="6"/>
        <v>1</v>
      </c>
      <c r="G253" s="17">
        <f t="shared" si="7"/>
        <v>0.34018322215575458</v>
      </c>
    </row>
    <row r="254" spans="1:7" ht="24" x14ac:dyDescent="0.25">
      <c r="A254" s="10" t="s">
        <v>29</v>
      </c>
      <c r="B254" s="11">
        <v>381204094</v>
      </c>
      <c r="C254" s="11">
        <v>127948322</v>
      </c>
      <c r="D254" s="11">
        <v>127948322</v>
      </c>
      <c r="E254" s="11">
        <v>127948322</v>
      </c>
      <c r="F254" s="12">
        <f t="shared" si="6"/>
        <v>1</v>
      </c>
      <c r="G254" s="12">
        <f t="shared" si="7"/>
        <v>0.33564257051237228</v>
      </c>
    </row>
    <row r="255" spans="1:7" x14ac:dyDescent="0.25">
      <c r="A255" s="15" t="s">
        <v>14</v>
      </c>
      <c r="B255" s="16">
        <v>303270480</v>
      </c>
      <c r="C255" s="16">
        <v>104875673</v>
      </c>
      <c r="D255" s="16">
        <v>104875673</v>
      </c>
      <c r="E255" s="16">
        <v>104875673</v>
      </c>
      <c r="F255" s="17">
        <f t="shared" si="6"/>
        <v>1</v>
      </c>
      <c r="G255" s="17">
        <f t="shared" si="7"/>
        <v>0.34581563296236417</v>
      </c>
    </row>
    <row r="256" spans="1:7" x14ac:dyDescent="0.25">
      <c r="A256" s="15" t="s">
        <v>15</v>
      </c>
      <c r="B256" s="16">
        <v>66719507</v>
      </c>
      <c r="C256" s="16">
        <v>23072649</v>
      </c>
      <c r="D256" s="16">
        <v>23072649</v>
      </c>
      <c r="E256" s="16">
        <v>23072649</v>
      </c>
      <c r="F256" s="17">
        <f t="shared" si="6"/>
        <v>1</v>
      </c>
      <c r="G256" s="17">
        <f t="shared" si="7"/>
        <v>0.34581563979482044</v>
      </c>
    </row>
    <row r="257" spans="1:7" ht="24" x14ac:dyDescent="0.25">
      <c r="A257" s="15" t="s">
        <v>49</v>
      </c>
      <c r="B257" s="16">
        <v>11214107</v>
      </c>
      <c r="C257" s="18"/>
      <c r="D257" s="18"/>
      <c r="E257" s="18"/>
      <c r="F257" s="17"/>
      <c r="G257" s="17">
        <f t="shared" si="7"/>
        <v>0</v>
      </c>
    </row>
    <row r="258" spans="1:7" ht="24" x14ac:dyDescent="0.25">
      <c r="A258" s="10" t="s">
        <v>56</v>
      </c>
      <c r="B258" s="11">
        <v>586197</v>
      </c>
      <c r="C258" s="11">
        <v>586197</v>
      </c>
      <c r="D258" s="11">
        <v>586197</v>
      </c>
      <c r="E258" s="11">
        <v>586197</v>
      </c>
      <c r="F258" s="12">
        <f t="shared" si="6"/>
        <v>1</v>
      </c>
      <c r="G258" s="12">
        <f t="shared" si="7"/>
        <v>1</v>
      </c>
    </row>
    <row r="259" spans="1:7" ht="24" x14ac:dyDescent="0.25">
      <c r="A259" s="15" t="s">
        <v>49</v>
      </c>
      <c r="B259" s="16">
        <v>586197</v>
      </c>
      <c r="C259" s="16">
        <v>586197</v>
      </c>
      <c r="D259" s="16">
        <v>586197</v>
      </c>
      <c r="E259" s="16">
        <v>586197</v>
      </c>
      <c r="F259" s="17">
        <f t="shared" si="6"/>
        <v>1</v>
      </c>
      <c r="G259" s="17">
        <f t="shared" si="7"/>
        <v>1</v>
      </c>
    </row>
    <row r="260" spans="1:7" x14ac:dyDescent="0.25">
      <c r="A260" s="10" t="s">
        <v>57</v>
      </c>
      <c r="B260" s="11">
        <v>363927</v>
      </c>
      <c r="C260" s="11">
        <v>363927</v>
      </c>
      <c r="D260" s="11">
        <v>363927</v>
      </c>
      <c r="E260" s="11">
        <v>363927</v>
      </c>
      <c r="F260" s="12">
        <f t="shared" si="6"/>
        <v>1</v>
      </c>
      <c r="G260" s="12">
        <f t="shared" si="7"/>
        <v>1</v>
      </c>
    </row>
    <row r="261" spans="1:7" ht="24" x14ac:dyDescent="0.25">
      <c r="A261" s="15" t="s">
        <v>49</v>
      </c>
      <c r="B261" s="16">
        <v>363927</v>
      </c>
      <c r="C261" s="16">
        <v>363927</v>
      </c>
      <c r="D261" s="16">
        <v>363927</v>
      </c>
      <c r="E261" s="16">
        <v>363927</v>
      </c>
      <c r="F261" s="20">
        <f t="shared" si="6"/>
        <v>1</v>
      </c>
      <c r="G261" s="20">
        <f t="shared" si="7"/>
        <v>1</v>
      </c>
    </row>
    <row r="262" spans="1:7" x14ac:dyDescent="0.25">
      <c r="A262" s="10" t="s">
        <v>58</v>
      </c>
      <c r="B262" s="11">
        <v>770798</v>
      </c>
      <c r="C262" s="11">
        <v>770798</v>
      </c>
      <c r="D262" s="11">
        <v>770798</v>
      </c>
      <c r="E262" s="11">
        <v>770798</v>
      </c>
      <c r="F262" s="12">
        <f t="shared" ref="F262:F325" si="8">D262/C262</f>
        <v>1</v>
      </c>
      <c r="G262" s="12">
        <f t="shared" ref="G262:G325" si="9">D262/B262</f>
        <v>1</v>
      </c>
    </row>
    <row r="263" spans="1:7" ht="24" x14ac:dyDescent="0.25">
      <c r="A263" s="15" t="s">
        <v>49</v>
      </c>
      <c r="B263" s="16">
        <v>770798</v>
      </c>
      <c r="C263" s="16">
        <v>770798</v>
      </c>
      <c r="D263" s="16">
        <v>770798</v>
      </c>
      <c r="E263" s="16">
        <v>770798</v>
      </c>
      <c r="F263" s="17">
        <f t="shared" si="8"/>
        <v>1</v>
      </c>
      <c r="G263" s="17">
        <f t="shared" si="9"/>
        <v>1</v>
      </c>
    </row>
    <row r="264" spans="1:7" ht="60" x14ac:dyDescent="0.25">
      <c r="A264" s="10" t="s">
        <v>59</v>
      </c>
      <c r="B264" s="11">
        <v>21987031</v>
      </c>
      <c r="C264" s="11">
        <v>7479595</v>
      </c>
      <c r="D264" s="11">
        <v>7479595</v>
      </c>
      <c r="E264" s="11">
        <v>7479595</v>
      </c>
      <c r="F264" s="12">
        <f t="shared" si="8"/>
        <v>1</v>
      </c>
      <c r="G264" s="12">
        <f t="shared" si="9"/>
        <v>0.34018212827370825</v>
      </c>
    </row>
    <row r="265" spans="1:7" ht="24" x14ac:dyDescent="0.25">
      <c r="A265" s="10" t="s">
        <v>29</v>
      </c>
      <c r="B265" s="11">
        <v>21987031</v>
      </c>
      <c r="C265" s="11">
        <v>7479595</v>
      </c>
      <c r="D265" s="11">
        <v>7479595</v>
      </c>
      <c r="E265" s="11">
        <v>7479595</v>
      </c>
      <c r="F265" s="12">
        <f t="shared" si="8"/>
        <v>1</v>
      </c>
      <c r="G265" s="12">
        <f t="shared" si="9"/>
        <v>0.34018212827370825</v>
      </c>
    </row>
    <row r="266" spans="1:7" x14ac:dyDescent="0.25">
      <c r="A266" s="15" t="s">
        <v>14</v>
      </c>
      <c r="B266" s="16">
        <v>18022157</v>
      </c>
      <c r="C266" s="16">
        <v>6130816</v>
      </c>
      <c r="D266" s="16">
        <v>6130816</v>
      </c>
      <c r="E266" s="16">
        <v>6130816</v>
      </c>
      <c r="F266" s="17">
        <f t="shared" si="8"/>
        <v>1</v>
      </c>
      <c r="G266" s="17">
        <f t="shared" si="9"/>
        <v>0.34018214356916321</v>
      </c>
    </row>
    <row r="267" spans="1:7" x14ac:dyDescent="0.25">
      <c r="A267" s="15" t="s">
        <v>15</v>
      </c>
      <c r="B267" s="16">
        <v>3964874</v>
      </c>
      <c r="C267" s="16">
        <v>1348779</v>
      </c>
      <c r="D267" s="16">
        <v>1348779</v>
      </c>
      <c r="E267" s="16">
        <v>1348779</v>
      </c>
      <c r="F267" s="17">
        <f t="shared" si="8"/>
        <v>1</v>
      </c>
      <c r="G267" s="17">
        <f t="shared" si="9"/>
        <v>0.3401820587489035</v>
      </c>
    </row>
    <row r="268" spans="1:7" ht="36" x14ac:dyDescent="0.25">
      <c r="A268" s="10" t="s">
        <v>60</v>
      </c>
      <c r="B268" s="11">
        <v>14308474</v>
      </c>
      <c r="C268" s="11">
        <v>4867487</v>
      </c>
      <c r="D268" s="11">
        <v>4867487</v>
      </c>
      <c r="E268" s="11">
        <v>4647312.2300000004</v>
      </c>
      <c r="F268" s="12">
        <f t="shared" si="8"/>
        <v>1</v>
      </c>
      <c r="G268" s="12">
        <f t="shared" si="9"/>
        <v>0.34018211865220566</v>
      </c>
    </row>
    <row r="269" spans="1:7" ht="24" x14ac:dyDescent="0.25">
      <c r="A269" s="10" t="s">
        <v>29</v>
      </c>
      <c r="B269" s="11">
        <v>7209173</v>
      </c>
      <c r="C269" s="11">
        <v>2452434</v>
      </c>
      <c r="D269" s="11">
        <v>2452434</v>
      </c>
      <c r="E269" s="11">
        <v>2452434</v>
      </c>
      <c r="F269" s="12">
        <f t="shared" si="8"/>
        <v>1</v>
      </c>
      <c r="G269" s="12">
        <f t="shared" si="9"/>
        <v>0.34018243146613347</v>
      </c>
    </row>
    <row r="270" spans="1:7" x14ac:dyDescent="0.25">
      <c r="A270" s="15" t="s">
        <v>14</v>
      </c>
      <c r="B270" s="16">
        <v>5909158</v>
      </c>
      <c r="C270" s="16">
        <v>2010192</v>
      </c>
      <c r="D270" s="16">
        <v>2010192</v>
      </c>
      <c r="E270" s="16">
        <v>2010192</v>
      </c>
      <c r="F270" s="17">
        <f t="shared" si="8"/>
        <v>1</v>
      </c>
      <c r="G270" s="17">
        <f t="shared" si="9"/>
        <v>0.34018247608204077</v>
      </c>
    </row>
    <row r="271" spans="1:7" x14ac:dyDescent="0.25">
      <c r="A271" s="15" t="s">
        <v>15</v>
      </c>
      <c r="B271" s="16">
        <v>1300015</v>
      </c>
      <c r="C271" s="16">
        <v>442242</v>
      </c>
      <c r="D271" s="16">
        <v>442242</v>
      </c>
      <c r="E271" s="16">
        <v>442242</v>
      </c>
      <c r="F271" s="17">
        <f t="shared" si="8"/>
        <v>1</v>
      </c>
      <c r="G271" s="17">
        <f t="shared" si="9"/>
        <v>0.34018222866659231</v>
      </c>
    </row>
    <row r="272" spans="1:7" x14ac:dyDescent="0.25">
      <c r="A272" s="10" t="s">
        <v>46</v>
      </c>
      <c r="B272" s="11">
        <v>7099301</v>
      </c>
      <c r="C272" s="11">
        <v>2415053</v>
      </c>
      <c r="D272" s="11">
        <v>2415053</v>
      </c>
      <c r="E272" s="11">
        <v>2194878.23</v>
      </c>
      <c r="F272" s="12">
        <f t="shared" si="8"/>
        <v>1</v>
      </c>
      <c r="G272" s="12">
        <f t="shared" si="9"/>
        <v>0.34018180099702772</v>
      </c>
    </row>
    <row r="273" spans="1:7" x14ac:dyDescent="0.25">
      <c r="A273" s="15" t="s">
        <v>14</v>
      </c>
      <c r="B273" s="16">
        <v>5819099</v>
      </c>
      <c r="C273" s="16">
        <v>1979552</v>
      </c>
      <c r="D273" s="16">
        <v>1979552</v>
      </c>
      <c r="E273" s="16">
        <v>1790279.77</v>
      </c>
      <c r="F273" s="17">
        <f t="shared" si="8"/>
        <v>1</v>
      </c>
      <c r="G273" s="17">
        <f t="shared" si="9"/>
        <v>0.34018187351684515</v>
      </c>
    </row>
    <row r="274" spans="1:7" x14ac:dyDescent="0.25">
      <c r="A274" s="15" t="s">
        <v>15</v>
      </c>
      <c r="B274" s="16">
        <v>1280202</v>
      </c>
      <c r="C274" s="16">
        <v>435501</v>
      </c>
      <c r="D274" s="16">
        <v>435501</v>
      </c>
      <c r="E274" s="16">
        <v>404598.46</v>
      </c>
      <c r="F274" s="17">
        <f t="shared" si="8"/>
        <v>1</v>
      </c>
      <c r="G274" s="17">
        <f t="shared" si="9"/>
        <v>0.34018147136155075</v>
      </c>
    </row>
    <row r="275" spans="1:7" ht="24" x14ac:dyDescent="0.25">
      <c r="A275" s="10" t="s">
        <v>61</v>
      </c>
      <c r="B275" s="11">
        <v>104221366</v>
      </c>
      <c r="C275" s="11">
        <f>C276+C279+C289+C292+C302</f>
        <v>25470597</v>
      </c>
      <c r="D275" s="11">
        <v>18138480.949999999</v>
      </c>
      <c r="E275" s="11">
        <v>18006868.960000001</v>
      </c>
      <c r="F275" s="12">
        <f t="shared" si="8"/>
        <v>0.71213411095154144</v>
      </c>
      <c r="G275" s="12">
        <f t="shared" si="9"/>
        <v>0.17403802738490301</v>
      </c>
    </row>
    <row r="276" spans="1:7" ht="24" x14ac:dyDescent="0.25">
      <c r="A276" s="10" t="s">
        <v>35</v>
      </c>
      <c r="B276" s="11">
        <v>3394815</v>
      </c>
      <c r="C276" s="11">
        <v>297009</v>
      </c>
      <c r="D276" s="11">
        <v>218947.04</v>
      </c>
      <c r="E276" s="11">
        <v>218947.04</v>
      </c>
      <c r="F276" s="12">
        <f t="shared" si="8"/>
        <v>0.73717308229716949</v>
      </c>
      <c r="G276" s="12">
        <f t="shared" si="9"/>
        <v>6.4494542412473141E-2</v>
      </c>
    </row>
    <row r="277" spans="1:7" x14ac:dyDescent="0.25">
      <c r="A277" s="15" t="s">
        <v>14</v>
      </c>
      <c r="B277" s="16">
        <v>2782635</v>
      </c>
      <c r="C277" s="16">
        <v>243450</v>
      </c>
      <c r="D277" s="16">
        <v>178985.12</v>
      </c>
      <c r="E277" s="16">
        <v>178985.12</v>
      </c>
      <c r="F277" s="17">
        <f t="shared" si="8"/>
        <v>0.7352027931813514</v>
      </c>
      <c r="G277" s="17">
        <f t="shared" si="9"/>
        <v>6.4322169454491873E-2</v>
      </c>
    </row>
    <row r="278" spans="1:7" x14ac:dyDescent="0.25">
      <c r="A278" s="15" t="s">
        <v>15</v>
      </c>
      <c r="B278" s="16">
        <v>612180</v>
      </c>
      <c r="C278" s="16">
        <v>53559</v>
      </c>
      <c r="D278" s="16">
        <v>39961.919999999998</v>
      </c>
      <c r="E278" s="16">
        <v>39961.919999999998</v>
      </c>
      <c r="F278" s="17">
        <f t="shared" si="8"/>
        <v>0.74612894191452417</v>
      </c>
      <c r="G278" s="17">
        <f t="shared" si="9"/>
        <v>6.5278055473880228E-2</v>
      </c>
    </row>
    <row r="279" spans="1:7" ht="24" x14ac:dyDescent="0.25">
      <c r="A279" s="10" t="s">
        <v>62</v>
      </c>
      <c r="B279" s="11">
        <v>16210015</v>
      </c>
      <c r="C279" s="11">
        <v>4304353</v>
      </c>
      <c r="D279" s="11">
        <v>3637278.89</v>
      </c>
      <c r="E279" s="11">
        <v>3508924.9</v>
      </c>
      <c r="F279" s="12">
        <f t="shared" si="8"/>
        <v>0.84502337285069329</v>
      </c>
      <c r="G279" s="12">
        <f t="shared" si="9"/>
        <v>0.22438467145156868</v>
      </c>
    </row>
    <row r="280" spans="1:7" x14ac:dyDescent="0.25">
      <c r="A280" s="15" t="s">
        <v>14</v>
      </c>
      <c r="B280" s="16">
        <v>9427144</v>
      </c>
      <c r="C280" s="16">
        <v>2420000</v>
      </c>
      <c r="D280" s="16">
        <v>2419351.04</v>
      </c>
      <c r="E280" s="16">
        <v>2419351.04</v>
      </c>
      <c r="F280" s="17">
        <f t="shared" si="8"/>
        <v>0.99973183471074378</v>
      </c>
      <c r="G280" s="17">
        <f t="shared" si="9"/>
        <v>0.25663669081537316</v>
      </c>
    </row>
    <row r="281" spans="1:7" x14ac:dyDescent="0.25">
      <c r="A281" s="15" t="s">
        <v>15</v>
      </c>
      <c r="B281" s="16">
        <v>2072772</v>
      </c>
      <c r="C281" s="16">
        <v>531600</v>
      </c>
      <c r="D281" s="16">
        <v>526997.75</v>
      </c>
      <c r="E281" s="16">
        <v>526997.75</v>
      </c>
      <c r="F281" s="17">
        <f t="shared" si="8"/>
        <v>0.99134264484574863</v>
      </c>
      <c r="G281" s="17">
        <f t="shared" si="9"/>
        <v>0.2542478140383988</v>
      </c>
    </row>
    <row r="282" spans="1:7" x14ac:dyDescent="0.25">
      <c r="A282" s="15" t="s">
        <v>16</v>
      </c>
      <c r="B282" s="16">
        <v>900000</v>
      </c>
      <c r="C282" s="16">
        <v>450000</v>
      </c>
      <c r="D282" s="16">
        <v>251425.61</v>
      </c>
      <c r="E282" s="16">
        <v>123071.62</v>
      </c>
      <c r="F282" s="17">
        <f t="shared" si="8"/>
        <v>0.5587235777777777</v>
      </c>
      <c r="G282" s="17">
        <f t="shared" si="9"/>
        <v>0.27936178888888885</v>
      </c>
    </row>
    <row r="283" spans="1:7" x14ac:dyDescent="0.25">
      <c r="A283" s="15" t="s">
        <v>17</v>
      </c>
      <c r="B283" s="16">
        <v>1927000</v>
      </c>
      <c r="C283" s="16">
        <v>180000</v>
      </c>
      <c r="D283" s="16">
        <v>58241.43</v>
      </c>
      <c r="E283" s="16">
        <v>58241.43</v>
      </c>
      <c r="F283" s="17">
        <f t="shared" si="8"/>
        <v>0.3235635</v>
      </c>
      <c r="G283" s="17">
        <f t="shared" si="9"/>
        <v>3.02238868707836E-2</v>
      </c>
    </row>
    <row r="284" spans="1:7" x14ac:dyDescent="0.25">
      <c r="A284" s="15" t="s">
        <v>18</v>
      </c>
      <c r="B284" s="16">
        <v>1163427</v>
      </c>
      <c r="C284" s="16">
        <v>536640</v>
      </c>
      <c r="D284" s="16">
        <v>315246.26</v>
      </c>
      <c r="E284" s="16">
        <v>315246.26</v>
      </c>
      <c r="F284" s="17">
        <f t="shared" si="8"/>
        <v>0.58744458109719744</v>
      </c>
      <c r="G284" s="17">
        <f t="shared" si="9"/>
        <v>0.27096350694972698</v>
      </c>
    </row>
    <row r="285" spans="1:7" x14ac:dyDescent="0.25">
      <c r="A285" s="15" t="s">
        <v>19</v>
      </c>
      <c r="B285" s="16">
        <v>72699</v>
      </c>
      <c r="C285" s="16">
        <v>18587</v>
      </c>
      <c r="D285" s="16">
        <v>12696.11</v>
      </c>
      <c r="E285" s="16">
        <v>12696.11</v>
      </c>
      <c r="F285" s="17">
        <f t="shared" si="8"/>
        <v>0.68306396944100722</v>
      </c>
      <c r="G285" s="17">
        <f t="shared" si="9"/>
        <v>0.17463940356813712</v>
      </c>
    </row>
    <row r="286" spans="1:7" x14ac:dyDescent="0.25">
      <c r="A286" s="15" t="s">
        <v>20</v>
      </c>
      <c r="B286" s="16">
        <v>613973</v>
      </c>
      <c r="C286" s="16">
        <v>157026</v>
      </c>
      <c r="D286" s="16">
        <v>48681.15</v>
      </c>
      <c r="E286" s="16">
        <v>48681.15</v>
      </c>
      <c r="F286" s="17">
        <f t="shared" si="8"/>
        <v>0.31001967826984067</v>
      </c>
      <c r="G286" s="17">
        <f t="shared" si="9"/>
        <v>7.928874722504084E-2</v>
      </c>
    </row>
    <row r="287" spans="1:7" ht="24" x14ac:dyDescent="0.25">
      <c r="A287" s="15" t="s">
        <v>32</v>
      </c>
      <c r="B287" s="16">
        <v>30000</v>
      </c>
      <c r="C287" s="16">
        <v>7500</v>
      </c>
      <c r="D287" s="16">
        <v>4639.54</v>
      </c>
      <c r="E287" s="16">
        <v>4639.54</v>
      </c>
      <c r="F287" s="17">
        <f t="shared" si="8"/>
        <v>0.61860533333333334</v>
      </c>
      <c r="G287" s="17">
        <f t="shared" si="9"/>
        <v>0.15465133333333334</v>
      </c>
    </row>
    <row r="288" spans="1:7" ht="24" x14ac:dyDescent="0.25">
      <c r="A288" s="15" t="s">
        <v>21</v>
      </c>
      <c r="B288" s="16">
        <v>3000</v>
      </c>
      <c r="C288" s="16">
        <v>3000</v>
      </c>
      <c r="D288" s="18"/>
      <c r="E288" s="18"/>
      <c r="F288" s="17">
        <f t="shared" si="8"/>
        <v>0</v>
      </c>
      <c r="G288" s="17">
        <f t="shared" si="9"/>
        <v>0</v>
      </c>
    </row>
    <row r="289" spans="1:7" x14ac:dyDescent="0.25">
      <c r="A289" s="10" t="s">
        <v>37</v>
      </c>
      <c r="B289" s="11">
        <v>3043455</v>
      </c>
      <c r="C289" s="11">
        <v>648369</v>
      </c>
      <c r="D289" s="11">
        <v>647167.07999999996</v>
      </c>
      <c r="E289" s="11">
        <v>647167.07999999996</v>
      </c>
      <c r="F289" s="17">
        <f t="shared" si="8"/>
        <v>0.99814624079806402</v>
      </c>
      <c r="G289" s="17">
        <f t="shared" si="9"/>
        <v>0.21264223719424141</v>
      </c>
    </row>
    <row r="290" spans="1:7" x14ac:dyDescent="0.25">
      <c r="A290" s="15" t="s">
        <v>14</v>
      </c>
      <c r="B290" s="16">
        <v>2494635</v>
      </c>
      <c r="C290" s="16">
        <v>531450</v>
      </c>
      <c r="D290" s="16">
        <v>530248.07999999996</v>
      </c>
      <c r="E290" s="16">
        <v>530248.07999999996</v>
      </c>
      <c r="F290" s="17">
        <f t="shared" si="8"/>
        <v>0.99773841377363803</v>
      </c>
      <c r="G290" s="17">
        <f t="shared" si="9"/>
        <v>0.21255537583654521</v>
      </c>
    </row>
    <row r="291" spans="1:7" x14ac:dyDescent="0.25">
      <c r="A291" s="15" t="s">
        <v>15</v>
      </c>
      <c r="B291" s="16">
        <v>548820</v>
      </c>
      <c r="C291" s="16">
        <v>116919</v>
      </c>
      <c r="D291" s="16">
        <v>116919</v>
      </c>
      <c r="E291" s="16">
        <v>116919</v>
      </c>
      <c r="F291" s="17">
        <f t="shared" si="8"/>
        <v>1</v>
      </c>
      <c r="G291" s="17">
        <f t="shared" si="9"/>
        <v>0.21303706133158412</v>
      </c>
    </row>
    <row r="292" spans="1:7" ht="24" x14ac:dyDescent="0.25">
      <c r="A292" s="10" t="s">
        <v>29</v>
      </c>
      <c r="B292" s="11">
        <v>52805881</v>
      </c>
      <c r="C292" s="11">
        <f>SUM(C293:C301)</f>
        <v>10098673</v>
      </c>
      <c r="D292" s="11">
        <v>7120509.2400000002</v>
      </c>
      <c r="E292" s="11">
        <v>7120509.2400000002</v>
      </c>
      <c r="F292" s="12">
        <f t="shared" si="8"/>
        <v>0.70509355437095544</v>
      </c>
      <c r="G292" s="12">
        <f t="shared" si="9"/>
        <v>0.1348431103724981</v>
      </c>
    </row>
    <row r="293" spans="1:7" x14ac:dyDescent="0.25">
      <c r="A293" s="15" t="s">
        <v>14</v>
      </c>
      <c r="B293" s="16">
        <v>31272164</v>
      </c>
      <c r="C293" s="16">
        <f>13352000-C303-C280-C277-C290</f>
        <v>5082000</v>
      </c>
      <c r="D293" s="16">
        <v>5065397.2300000004</v>
      </c>
      <c r="E293" s="16">
        <v>5065397.2300000004</v>
      </c>
      <c r="F293" s="17">
        <f t="shared" si="8"/>
        <v>0.99673302439984268</v>
      </c>
      <c r="G293" s="17">
        <f t="shared" si="9"/>
        <v>0.16197782890880211</v>
      </c>
    </row>
    <row r="294" spans="1:7" x14ac:dyDescent="0.25">
      <c r="A294" s="15" t="s">
        <v>15</v>
      </c>
      <c r="B294" s="16">
        <v>6881074</v>
      </c>
      <c r="C294" s="16">
        <f>2955684-C304-C291-C281-C278</f>
        <v>1137084</v>
      </c>
      <c r="D294" s="16">
        <v>1118852.51</v>
      </c>
      <c r="E294" s="16">
        <v>1118852.51</v>
      </c>
      <c r="F294" s="17">
        <f t="shared" si="8"/>
        <v>0.98396645278624972</v>
      </c>
      <c r="G294" s="17">
        <f t="shared" si="9"/>
        <v>0.16259852895056789</v>
      </c>
    </row>
    <row r="295" spans="1:7" x14ac:dyDescent="0.25">
      <c r="A295" s="15" t="s">
        <v>16</v>
      </c>
      <c r="B295" s="16">
        <v>4376000</v>
      </c>
      <c r="C295" s="16">
        <f>2650000-C305-C282</f>
        <v>1000000</v>
      </c>
      <c r="D295" s="18"/>
      <c r="E295" s="18"/>
      <c r="F295" s="17">
        <f t="shared" si="8"/>
        <v>0</v>
      </c>
      <c r="G295" s="17">
        <f t="shared" si="9"/>
        <v>0</v>
      </c>
    </row>
    <row r="296" spans="1:7" x14ac:dyDescent="0.25">
      <c r="A296" s="15" t="s">
        <v>17</v>
      </c>
      <c r="B296" s="16">
        <v>7182000</v>
      </c>
      <c r="C296" s="16">
        <f>3780000-C306-C283</f>
        <v>1200000</v>
      </c>
      <c r="D296" s="16">
        <v>23132.18</v>
      </c>
      <c r="E296" s="16">
        <v>23132.18</v>
      </c>
      <c r="F296" s="17">
        <f t="shared" si="8"/>
        <v>1.9276816666666668E-2</v>
      </c>
      <c r="G296" s="17">
        <f t="shared" si="9"/>
        <v>3.2208549150654414E-3</v>
      </c>
    </row>
    <row r="297" spans="1:7" x14ac:dyDescent="0.25">
      <c r="A297" s="15" t="s">
        <v>18</v>
      </c>
      <c r="B297" s="16">
        <v>2549907</v>
      </c>
      <c r="C297" s="16">
        <f>2214986-C284-C307</f>
        <v>1477674</v>
      </c>
      <c r="D297" s="16">
        <v>823086.17</v>
      </c>
      <c r="E297" s="16">
        <v>823086.17</v>
      </c>
      <c r="F297" s="17">
        <f t="shared" si="8"/>
        <v>0.55701472043224698</v>
      </c>
      <c r="G297" s="17">
        <f t="shared" si="9"/>
        <v>0.32279066256141892</v>
      </c>
    </row>
    <row r="298" spans="1:7" x14ac:dyDescent="0.25">
      <c r="A298" s="15" t="s">
        <v>19</v>
      </c>
      <c r="B298" s="16">
        <v>84654</v>
      </c>
      <c r="C298" s="16">
        <f>47562-C308-C285</f>
        <v>22782</v>
      </c>
      <c r="D298" s="16">
        <v>19975.259999999998</v>
      </c>
      <c r="E298" s="16">
        <v>19975.259999999998</v>
      </c>
      <c r="F298" s="17">
        <f t="shared" si="8"/>
        <v>0.87680010534632602</v>
      </c>
      <c r="G298" s="17">
        <f t="shared" si="9"/>
        <v>0.23596356935289531</v>
      </c>
    </row>
    <row r="299" spans="1:7" x14ac:dyDescent="0.25">
      <c r="A299" s="15" t="s">
        <v>20</v>
      </c>
      <c r="B299" s="16">
        <v>376290</v>
      </c>
      <c r="C299" s="16">
        <f>414326-C309-C286</f>
        <v>142300</v>
      </c>
      <c r="D299" s="16">
        <v>66158.53</v>
      </c>
      <c r="E299" s="16">
        <v>66158.53</v>
      </c>
      <c r="F299" s="17">
        <f t="shared" si="8"/>
        <v>0.46492290934645114</v>
      </c>
      <c r="G299" s="17">
        <f t="shared" si="9"/>
        <v>0.17581793297722501</v>
      </c>
    </row>
    <row r="300" spans="1:7" ht="24" x14ac:dyDescent="0.25">
      <c r="A300" s="15" t="s">
        <v>32</v>
      </c>
      <c r="B300" s="16">
        <v>71792</v>
      </c>
      <c r="C300" s="16">
        <f>38039-C310-C287</f>
        <v>24833</v>
      </c>
      <c r="D300" s="16">
        <v>3907.36</v>
      </c>
      <c r="E300" s="16">
        <v>3907.36</v>
      </c>
      <c r="F300" s="17">
        <f t="shared" si="8"/>
        <v>0.157345467724399</v>
      </c>
      <c r="G300" s="17">
        <f t="shared" si="9"/>
        <v>5.4426119901938935E-2</v>
      </c>
    </row>
    <row r="301" spans="1:7" ht="24" x14ac:dyDescent="0.25">
      <c r="A301" s="15" t="s">
        <v>21</v>
      </c>
      <c r="B301" s="16">
        <v>12000</v>
      </c>
      <c r="C301" s="16">
        <f>18000-C311-C288</f>
        <v>12000</v>
      </c>
      <c r="D301" s="18"/>
      <c r="E301" s="18"/>
      <c r="F301" s="17">
        <f t="shared" si="8"/>
        <v>0</v>
      </c>
      <c r="G301" s="17">
        <f t="shared" si="9"/>
        <v>0</v>
      </c>
    </row>
    <row r="302" spans="1:7" x14ac:dyDescent="0.25">
      <c r="A302" s="10" t="s">
        <v>46</v>
      </c>
      <c r="B302" s="11">
        <v>28767200</v>
      </c>
      <c r="C302" s="11">
        <v>10122193</v>
      </c>
      <c r="D302" s="11">
        <v>6514578.7000000002</v>
      </c>
      <c r="E302" s="11">
        <v>6511320.7000000002</v>
      </c>
      <c r="F302" s="12">
        <f t="shared" si="8"/>
        <v>0.6435936066423551</v>
      </c>
      <c r="G302" s="12">
        <f t="shared" si="9"/>
        <v>0.22645856044383883</v>
      </c>
    </row>
    <row r="303" spans="1:7" x14ac:dyDescent="0.25">
      <c r="A303" s="15" t="s">
        <v>14</v>
      </c>
      <c r="B303" s="16">
        <v>18820700</v>
      </c>
      <c r="C303" s="16">
        <v>5075100</v>
      </c>
      <c r="D303" s="16">
        <v>5072465.97</v>
      </c>
      <c r="E303" s="16">
        <v>5072465.97</v>
      </c>
      <c r="F303" s="17">
        <f t="shared" si="8"/>
        <v>0.99948098953715192</v>
      </c>
      <c r="G303" s="17">
        <f t="shared" si="9"/>
        <v>0.26951526616969612</v>
      </c>
    </row>
    <row r="304" spans="1:7" x14ac:dyDescent="0.25">
      <c r="A304" s="15" t="s">
        <v>15</v>
      </c>
      <c r="B304" s="16">
        <v>4140554</v>
      </c>
      <c r="C304" s="16">
        <v>1116522</v>
      </c>
      <c r="D304" s="16">
        <v>1116522</v>
      </c>
      <c r="E304" s="16">
        <v>1116522</v>
      </c>
      <c r="F304" s="17">
        <f t="shared" si="8"/>
        <v>1</v>
      </c>
      <c r="G304" s="17">
        <f t="shared" si="9"/>
        <v>0.26965522005026382</v>
      </c>
    </row>
    <row r="305" spans="1:7" x14ac:dyDescent="0.25">
      <c r="A305" s="15" t="s">
        <v>16</v>
      </c>
      <c r="B305" s="16">
        <v>1700000</v>
      </c>
      <c r="C305" s="16">
        <v>1200000</v>
      </c>
      <c r="D305" s="16">
        <v>105786</v>
      </c>
      <c r="E305" s="16">
        <v>102528</v>
      </c>
      <c r="F305" s="17">
        <f t="shared" si="8"/>
        <v>8.8154999999999997E-2</v>
      </c>
      <c r="G305" s="17">
        <f t="shared" si="9"/>
        <v>6.2227058823529413E-2</v>
      </c>
    </row>
    <row r="306" spans="1:7" x14ac:dyDescent="0.25">
      <c r="A306" s="15" t="s">
        <v>17</v>
      </c>
      <c r="B306" s="16">
        <v>3200000</v>
      </c>
      <c r="C306" s="16">
        <v>2400000</v>
      </c>
      <c r="D306" s="16">
        <v>53644.34</v>
      </c>
      <c r="E306" s="16">
        <v>53644.34</v>
      </c>
      <c r="F306" s="17">
        <f t="shared" si="8"/>
        <v>2.235180833333333E-2</v>
      </c>
      <c r="G306" s="17">
        <f t="shared" si="9"/>
        <v>1.676385625E-2</v>
      </c>
    </row>
    <row r="307" spans="1:7" x14ac:dyDescent="0.25">
      <c r="A307" s="15" t="s">
        <v>18</v>
      </c>
      <c r="B307" s="16">
        <v>449051</v>
      </c>
      <c r="C307" s="16">
        <v>200672</v>
      </c>
      <c r="D307" s="16">
        <v>101156.23</v>
      </c>
      <c r="E307" s="16">
        <v>101156.23</v>
      </c>
      <c r="F307" s="17">
        <f t="shared" si="8"/>
        <v>0.50408741628129483</v>
      </c>
      <c r="G307" s="17">
        <f t="shared" si="9"/>
        <v>0.22526668463047625</v>
      </c>
    </row>
    <row r="308" spans="1:7" x14ac:dyDescent="0.25">
      <c r="A308" s="15" t="s">
        <v>19</v>
      </c>
      <c r="B308" s="16">
        <v>27246</v>
      </c>
      <c r="C308" s="16">
        <v>6193</v>
      </c>
      <c r="D308" s="16">
        <v>6185.64</v>
      </c>
      <c r="E308" s="16">
        <v>6185.64</v>
      </c>
      <c r="F308" s="17">
        <f t="shared" si="8"/>
        <v>0.99881156144033589</v>
      </c>
      <c r="G308" s="17">
        <f t="shared" si="9"/>
        <v>0.22702928870292888</v>
      </c>
    </row>
    <row r="309" spans="1:7" x14ac:dyDescent="0.25">
      <c r="A309" s="15" t="s">
        <v>20</v>
      </c>
      <c r="B309" s="16">
        <v>403830</v>
      </c>
      <c r="C309" s="16">
        <v>115000</v>
      </c>
      <c r="D309" s="16">
        <v>56963.519999999997</v>
      </c>
      <c r="E309" s="16">
        <v>56963.519999999997</v>
      </c>
      <c r="F309" s="17">
        <f t="shared" si="8"/>
        <v>0.49533495652173909</v>
      </c>
      <c r="G309" s="17">
        <f t="shared" si="9"/>
        <v>0.14105816804100735</v>
      </c>
    </row>
    <row r="310" spans="1:7" ht="24" x14ac:dyDescent="0.25">
      <c r="A310" s="15" t="s">
        <v>32</v>
      </c>
      <c r="B310" s="16">
        <v>22819</v>
      </c>
      <c r="C310" s="16">
        <v>5706</v>
      </c>
      <c r="D310" s="16">
        <v>1855</v>
      </c>
      <c r="E310" s="16">
        <v>1855</v>
      </c>
      <c r="F310" s="17">
        <f t="shared" si="8"/>
        <v>0.32509638976515948</v>
      </c>
      <c r="G310" s="17">
        <f t="shared" si="9"/>
        <v>8.1291905867917083E-2</v>
      </c>
    </row>
    <row r="311" spans="1:7" ht="24" x14ac:dyDescent="0.25">
      <c r="A311" s="15" t="s">
        <v>21</v>
      </c>
      <c r="B311" s="16">
        <v>3000</v>
      </c>
      <c r="C311" s="16">
        <v>3000</v>
      </c>
      <c r="D311" s="18"/>
      <c r="E311" s="18"/>
      <c r="F311" s="17">
        <f t="shared" si="8"/>
        <v>0</v>
      </c>
      <c r="G311" s="17">
        <f t="shared" si="9"/>
        <v>0</v>
      </c>
    </row>
    <row r="312" spans="1:7" ht="24" x14ac:dyDescent="0.25">
      <c r="A312" s="10" t="s">
        <v>63</v>
      </c>
      <c r="B312" s="11">
        <v>145654408</v>
      </c>
      <c r="C312" s="11">
        <f>C313+C322</f>
        <v>34433561</v>
      </c>
      <c r="D312" s="11">
        <v>32134146.91</v>
      </c>
      <c r="E312" s="11">
        <v>32128966.91</v>
      </c>
      <c r="F312" s="12">
        <f t="shared" si="8"/>
        <v>0.93322171674315069</v>
      </c>
      <c r="G312" s="12">
        <f t="shared" si="9"/>
        <v>0.22061911720515867</v>
      </c>
    </row>
    <row r="313" spans="1:7" ht="24" x14ac:dyDescent="0.25">
      <c r="A313" s="10" t="s">
        <v>31</v>
      </c>
      <c r="B313" s="11">
        <v>108688000</v>
      </c>
      <c r="C313" s="11">
        <f>SUM(C314:C321)</f>
        <v>25603593</v>
      </c>
      <c r="D313" s="11">
        <v>23814846.870000001</v>
      </c>
      <c r="E313" s="11">
        <v>23809666.870000001</v>
      </c>
      <c r="F313" s="12">
        <f t="shared" si="8"/>
        <v>0.93013690969076102</v>
      </c>
      <c r="G313" s="12">
        <f t="shared" si="9"/>
        <v>0.21911201668997499</v>
      </c>
    </row>
    <row r="314" spans="1:7" x14ac:dyDescent="0.25">
      <c r="A314" s="15" t="s">
        <v>14</v>
      </c>
      <c r="B314" s="16">
        <v>81330537</v>
      </c>
      <c r="C314" s="16">
        <f>25800000-C323</f>
        <v>19122300</v>
      </c>
      <c r="D314" s="16">
        <v>18944089.170000002</v>
      </c>
      <c r="E314" s="16">
        <v>18944089.170000002</v>
      </c>
      <c r="F314" s="17">
        <f t="shared" si="8"/>
        <v>0.99068047096845058</v>
      </c>
      <c r="G314" s="17">
        <f t="shared" si="9"/>
        <v>0.23292713744162297</v>
      </c>
    </row>
    <row r="315" spans="1:7" x14ac:dyDescent="0.25">
      <c r="A315" s="15" t="s">
        <v>15</v>
      </c>
      <c r="B315" s="16">
        <v>17892738</v>
      </c>
      <c r="C315" s="16">
        <f>5676000-C324</f>
        <v>4206900</v>
      </c>
      <c r="D315" s="16">
        <v>4176667.58</v>
      </c>
      <c r="E315" s="16">
        <v>4176667.58</v>
      </c>
      <c r="F315" s="17">
        <f t="shared" si="8"/>
        <v>0.99281361097245002</v>
      </c>
      <c r="G315" s="17">
        <f t="shared" si="9"/>
        <v>0.23342808574070664</v>
      </c>
    </row>
    <row r="316" spans="1:7" x14ac:dyDescent="0.25">
      <c r="A316" s="15" t="s">
        <v>16</v>
      </c>
      <c r="B316" s="16">
        <v>1000000</v>
      </c>
      <c r="C316" s="16">
        <f>440000-C325</f>
        <v>400000</v>
      </c>
      <c r="D316" s="16">
        <v>4020</v>
      </c>
      <c r="E316" s="18"/>
      <c r="F316" s="17">
        <f t="shared" si="8"/>
        <v>1.005E-2</v>
      </c>
      <c r="G316" s="17">
        <f t="shared" si="9"/>
        <v>4.0200000000000001E-3</v>
      </c>
    </row>
    <row r="317" spans="1:7" x14ac:dyDescent="0.25">
      <c r="A317" s="15" t="s">
        <v>17</v>
      </c>
      <c r="B317" s="16">
        <v>5084580</v>
      </c>
      <c r="C317" s="16">
        <f>510000-C326</f>
        <v>390000</v>
      </c>
      <c r="D317" s="16">
        <v>125580.81</v>
      </c>
      <c r="E317" s="16">
        <v>124420.81</v>
      </c>
      <c r="F317" s="17">
        <f t="shared" si="8"/>
        <v>0.32200207692307692</v>
      </c>
      <c r="G317" s="17">
        <f t="shared" si="9"/>
        <v>2.4698364466681614E-2</v>
      </c>
    </row>
    <row r="318" spans="1:7" x14ac:dyDescent="0.25">
      <c r="A318" s="15" t="s">
        <v>18</v>
      </c>
      <c r="B318" s="16">
        <v>2627159</v>
      </c>
      <c r="C318" s="16">
        <f>1653038-C327</f>
        <v>1258965</v>
      </c>
      <c r="D318" s="16">
        <v>488577.19</v>
      </c>
      <c r="E318" s="16">
        <v>488577.19</v>
      </c>
      <c r="F318" s="17">
        <f t="shared" si="8"/>
        <v>0.38807845333269791</v>
      </c>
      <c r="G318" s="17">
        <f t="shared" si="9"/>
        <v>0.18597168652525409</v>
      </c>
    </row>
    <row r="319" spans="1:7" x14ac:dyDescent="0.25">
      <c r="A319" s="15" t="s">
        <v>19</v>
      </c>
      <c r="B319" s="16">
        <v>113786</v>
      </c>
      <c r="C319" s="16">
        <f>47696-C328</f>
        <v>28506</v>
      </c>
      <c r="D319" s="16">
        <v>17091.54</v>
      </c>
      <c r="E319" s="16">
        <v>17091.54</v>
      </c>
      <c r="F319" s="17">
        <f t="shared" si="8"/>
        <v>0.59957693117238475</v>
      </c>
      <c r="G319" s="17">
        <f t="shared" si="9"/>
        <v>0.15020775842370768</v>
      </c>
    </row>
    <row r="320" spans="1:7" x14ac:dyDescent="0.25">
      <c r="A320" s="15" t="s">
        <v>20</v>
      </c>
      <c r="B320" s="16">
        <v>619700</v>
      </c>
      <c r="C320" s="16">
        <f>297083-C329</f>
        <v>192050</v>
      </c>
      <c r="D320" s="16">
        <v>58411.199999999997</v>
      </c>
      <c r="E320" s="16">
        <v>58411.199999999997</v>
      </c>
      <c r="F320" s="17">
        <f t="shared" si="8"/>
        <v>0.30414579536579012</v>
      </c>
      <c r="G320" s="17">
        <f t="shared" si="9"/>
        <v>9.4257221236081976E-2</v>
      </c>
    </row>
    <row r="321" spans="1:7" ht="24" x14ac:dyDescent="0.25">
      <c r="A321" s="15" t="s">
        <v>32</v>
      </c>
      <c r="B321" s="16">
        <v>19500</v>
      </c>
      <c r="C321" s="16">
        <f>9744-C330</f>
        <v>4872</v>
      </c>
      <c r="D321" s="19">
        <v>409.38</v>
      </c>
      <c r="E321" s="19">
        <v>409.38</v>
      </c>
      <c r="F321" s="17">
        <f t="shared" si="8"/>
        <v>8.4027093596059116E-2</v>
      </c>
      <c r="G321" s="17">
        <f t="shared" si="9"/>
        <v>2.0993846153846155E-2</v>
      </c>
    </row>
    <row r="322" spans="1:7" ht="24" x14ac:dyDescent="0.25">
      <c r="A322" s="10" t="s">
        <v>64</v>
      </c>
      <c r="B322" s="11">
        <v>36966408</v>
      </c>
      <c r="C322" s="11">
        <v>8829968</v>
      </c>
      <c r="D322" s="11">
        <v>8319300.04</v>
      </c>
      <c r="E322" s="11">
        <v>8319300.04</v>
      </c>
      <c r="F322" s="12">
        <f t="shared" si="8"/>
        <v>0.94216649935764207</v>
      </c>
      <c r="G322" s="12">
        <f t="shared" si="9"/>
        <v>0.22505026834092184</v>
      </c>
    </row>
    <row r="323" spans="1:7" x14ac:dyDescent="0.25">
      <c r="A323" s="15" t="s">
        <v>14</v>
      </c>
      <c r="B323" s="16">
        <v>28401000</v>
      </c>
      <c r="C323" s="16">
        <v>6677700</v>
      </c>
      <c r="D323" s="16">
        <v>6488265.6100000003</v>
      </c>
      <c r="E323" s="16">
        <v>6488265.6100000003</v>
      </c>
      <c r="F323" s="17">
        <f t="shared" si="8"/>
        <v>0.97163179088608354</v>
      </c>
      <c r="G323" s="17">
        <f t="shared" si="9"/>
        <v>0.22845201260518996</v>
      </c>
    </row>
    <row r="324" spans="1:7" x14ac:dyDescent="0.25">
      <c r="A324" s="15" t="s">
        <v>15</v>
      </c>
      <c r="B324" s="16">
        <v>6248200</v>
      </c>
      <c r="C324" s="16">
        <v>1469100</v>
      </c>
      <c r="D324" s="16">
        <v>1420998.09</v>
      </c>
      <c r="E324" s="16">
        <v>1420998.09</v>
      </c>
      <c r="F324" s="17">
        <f t="shared" si="8"/>
        <v>0.96725756585664702</v>
      </c>
      <c r="G324" s="17">
        <f t="shared" si="9"/>
        <v>0.22742519285554241</v>
      </c>
    </row>
    <row r="325" spans="1:7" x14ac:dyDescent="0.25">
      <c r="A325" s="15" t="s">
        <v>16</v>
      </c>
      <c r="B325" s="16">
        <v>200000</v>
      </c>
      <c r="C325" s="16">
        <v>40000</v>
      </c>
      <c r="D325" s="16">
        <v>40000</v>
      </c>
      <c r="E325" s="16">
        <v>40000</v>
      </c>
      <c r="F325" s="17">
        <f t="shared" si="8"/>
        <v>1</v>
      </c>
      <c r="G325" s="17">
        <f t="shared" si="9"/>
        <v>0.2</v>
      </c>
    </row>
    <row r="326" spans="1:7" x14ac:dyDescent="0.25">
      <c r="A326" s="15" t="s">
        <v>17</v>
      </c>
      <c r="B326" s="16">
        <v>1000000</v>
      </c>
      <c r="C326" s="16">
        <v>120000</v>
      </c>
      <c r="D326" s="16">
        <v>114533.74</v>
      </c>
      <c r="E326" s="16">
        <v>114533.74</v>
      </c>
      <c r="F326" s="17">
        <f t="shared" ref="F326:F389" si="10">D326/C326</f>
        <v>0.95444783333333338</v>
      </c>
      <c r="G326" s="17">
        <f t="shared" ref="G326:G389" si="11">D326/B326</f>
        <v>0.11453374000000001</v>
      </c>
    </row>
    <row r="327" spans="1:7" x14ac:dyDescent="0.25">
      <c r="A327" s="15" t="s">
        <v>18</v>
      </c>
      <c r="B327" s="16">
        <v>720884</v>
      </c>
      <c r="C327" s="16">
        <v>394073</v>
      </c>
      <c r="D327" s="16">
        <v>200015.71</v>
      </c>
      <c r="E327" s="16">
        <v>200015.71</v>
      </c>
      <c r="F327" s="17">
        <f t="shared" si="10"/>
        <v>0.50756004598132831</v>
      </c>
      <c r="G327" s="17">
        <f t="shared" si="11"/>
        <v>0.27745893930230103</v>
      </c>
    </row>
    <row r="328" spans="1:7" x14ac:dyDescent="0.25">
      <c r="A328" s="15" t="s">
        <v>19</v>
      </c>
      <c r="B328" s="16">
        <v>68324</v>
      </c>
      <c r="C328" s="16">
        <v>19190</v>
      </c>
      <c r="D328" s="16">
        <v>13890.18</v>
      </c>
      <c r="E328" s="16">
        <v>13890.18</v>
      </c>
      <c r="F328" s="17">
        <f t="shared" si="10"/>
        <v>0.72382386659718601</v>
      </c>
      <c r="G328" s="17">
        <f t="shared" si="11"/>
        <v>0.20329869445582813</v>
      </c>
    </row>
    <row r="329" spans="1:7" x14ac:dyDescent="0.25">
      <c r="A329" s="15" t="s">
        <v>20</v>
      </c>
      <c r="B329" s="16">
        <v>308500</v>
      </c>
      <c r="C329" s="16">
        <v>105033</v>
      </c>
      <c r="D329" s="16">
        <v>40163.86</v>
      </c>
      <c r="E329" s="16">
        <v>40163.86</v>
      </c>
      <c r="F329" s="17">
        <f t="shared" si="10"/>
        <v>0.38239277179553094</v>
      </c>
      <c r="G329" s="17">
        <f t="shared" si="11"/>
        <v>0.13019079416531604</v>
      </c>
    </row>
    <row r="330" spans="1:7" ht="24" x14ac:dyDescent="0.25">
      <c r="A330" s="15" t="s">
        <v>32</v>
      </c>
      <c r="B330" s="16">
        <v>19500</v>
      </c>
      <c r="C330" s="16">
        <v>4872</v>
      </c>
      <c r="D330" s="16">
        <v>1432.85</v>
      </c>
      <c r="E330" s="16">
        <v>1432.85</v>
      </c>
      <c r="F330" s="17">
        <f t="shared" si="10"/>
        <v>0.29409893267651888</v>
      </c>
      <c r="G330" s="17">
        <f t="shared" si="11"/>
        <v>7.3479487179487171E-2</v>
      </c>
    </row>
    <row r="331" spans="1:7" ht="24" x14ac:dyDescent="0.25">
      <c r="A331" s="10" t="s">
        <v>65</v>
      </c>
      <c r="B331" s="11">
        <v>56020983</v>
      </c>
      <c r="C331" s="11">
        <f>C332</f>
        <v>13985165</v>
      </c>
      <c r="D331" s="11">
        <v>11579904.130000001</v>
      </c>
      <c r="E331" s="11">
        <v>11579904.130000001</v>
      </c>
      <c r="F331" s="12">
        <f t="shared" si="10"/>
        <v>0.82801340777888577</v>
      </c>
      <c r="G331" s="12">
        <f t="shared" si="11"/>
        <v>0.20670655011533806</v>
      </c>
    </row>
    <row r="332" spans="1:7" ht="24" x14ac:dyDescent="0.25">
      <c r="A332" s="10" t="s">
        <v>29</v>
      </c>
      <c r="B332" s="11">
        <v>56020983</v>
      </c>
      <c r="C332" s="11">
        <f>SUM(C333:C341)</f>
        <v>13985165</v>
      </c>
      <c r="D332" s="11">
        <v>11579904.130000001</v>
      </c>
      <c r="E332" s="11">
        <v>11579904.130000001</v>
      </c>
      <c r="F332" s="12">
        <f t="shared" si="10"/>
        <v>0.82801340777888577</v>
      </c>
      <c r="G332" s="12">
        <f t="shared" si="11"/>
        <v>0.20670655011533806</v>
      </c>
    </row>
    <row r="333" spans="1:7" x14ac:dyDescent="0.25">
      <c r="A333" s="15" t="s">
        <v>14</v>
      </c>
      <c r="B333" s="16">
        <v>38817900</v>
      </c>
      <c r="C333" s="16">
        <v>9300000</v>
      </c>
      <c r="D333" s="16">
        <v>9011944.3000000007</v>
      </c>
      <c r="E333" s="16">
        <v>9011944.3000000007</v>
      </c>
      <c r="F333" s="17">
        <f t="shared" si="10"/>
        <v>0.96902626881720433</v>
      </c>
      <c r="G333" s="17">
        <f t="shared" si="11"/>
        <v>0.23215950115797096</v>
      </c>
    </row>
    <row r="334" spans="1:7" x14ac:dyDescent="0.25">
      <c r="A334" s="15" t="s">
        <v>15</v>
      </c>
      <c r="B334" s="16">
        <v>8539940</v>
      </c>
      <c r="C334" s="16">
        <v>2046000</v>
      </c>
      <c r="D334" s="16">
        <v>1958210</v>
      </c>
      <c r="E334" s="16">
        <v>1958210</v>
      </c>
      <c r="F334" s="17">
        <f t="shared" si="10"/>
        <v>0.95709188660801559</v>
      </c>
      <c r="G334" s="17">
        <f t="shared" si="11"/>
        <v>0.22930020585624725</v>
      </c>
    </row>
    <row r="335" spans="1:7" x14ac:dyDescent="0.25">
      <c r="A335" s="15" t="s">
        <v>16</v>
      </c>
      <c r="B335" s="16">
        <v>1000000</v>
      </c>
      <c r="C335" s="16">
        <v>700000</v>
      </c>
      <c r="D335" s="18"/>
      <c r="E335" s="18"/>
      <c r="F335" s="17">
        <f t="shared" si="10"/>
        <v>0</v>
      </c>
      <c r="G335" s="17">
        <f t="shared" si="11"/>
        <v>0</v>
      </c>
    </row>
    <row r="336" spans="1:7" x14ac:dyDescent="0.25">
      <c r="A336" s="15" t="s">
        <v>17</v>
      </c>
      <c r="B336" s="16">
        <v>6092773</v>
      </c>
      <c r="C336" s="16">
        <v>1292773</v>
      </c>
      <c r="D336" s="16">
        <v>246951.3</v>
      </c>
      <c r="E336" s="16">
        <v>246951.3</v>
      </c>
      <c r="F336" s="17">
        <f t="shared" si="10"/>
        <v>0.19102448767107605</v>
      </c>
      <c r="G336" s="17">
        <f t="shared" si="11"/>
        <v>4.0531839935608958E-2</v>
      </c>
    </row>
    <row r="337" spans="1:7" x14ac:dyDescent="0.25">
      <c r="A337" s="15" t="s">
        <v>18</v>
      </c>
      <c r="B337" s="16">
        <v>707989</v>
      </c>
      <c r="C337" s="16">
        <v>374365</v>
      </c>
      <c r="D337" s="16">
        <v>208042.81</v>
      </c>
      <c r="E337" s="16">
        <v>208042.81</v>
      </c>
      <c r="F337" s="17">
        <f t="shared" si="10"/>
        <v>0.55572184899763599</v>
      </c>
      <c r="G337" s="17">
        <f t="shared" si="11"/>
        <v>0.29385034230757823</v>
      </c>
    </row>
    <row r="338" spans="1:7" x14ac:dyDescent="0.25">
      <c r="A338" s="15" t="s">
        <v>19</v>
      </c>
      <c r="B338" s="16">
        <v>91851</v>
      </c>
      <c r="C338" s="16">
        <v>19412</v>
      </c>
      <c r="D338" s="16">
        <v>9634.61</v>
      </c>
      <c r="E338" s="16">
        <v>9634.61</v>
      </c>
      <c r="F338" s="17">
        <f t="shared" si="10"/>
        <v>0.49632237791057082</v>
      </c>
      <c r="G338" s="17">
        <f t="shared" si="11"/>
        <v>0.10489390425798305</v>
      </c>
    </row>
    <row r="339" spans="1:7" x14ac:dyDescent="0.25">
      <c r="A339" s="15" t="s">
        <v>20</v>
      </c>
      <c r="B339" s="16">
        <v>724290</v>
      </c>
      <c r="C339" s="16">
        <v>232720</v>
      </c>
      <c r="D339" s="16">
        <v>141864.98000000001</v>
      </c>
      <c r="E339" s="16">
        <v>141864.98000000001</v>
      </c>
      <c r="F339" s="17">
        <f t="shared" si="10"/>
        <v>0.60959513578549329</v>
      </c>
      <c r="G339" s="17">
        <f t="shared" si="11"/>
        <v>0.19586764969832526</v>
      </c>
    </row>
    <row r="340" spans="1:7" ht="24" x14ac:dyDescent="0.25">
      <c r="A340" s="15" t="s">
        <v>32</v>
      </c>
      <c r="B340" s="16">
        <v>40240</v>
      </c>
      <c r="C340" s="16">
        <v>13895</v>
      </c>
      <c r="D340" s="16">
        <v>3256.13</v>
      </c>
      <c r="E340" s="16">
        <v>3256.13</v>
      </c>
      <c r="F340" s="17">
        <f t="shared" si="10"/>
        <v>0.23433825116948542</v>
      </c>
      <c r="G340" s="17">
        <f t="shared" si="11"/>
        <v>8.0917743538767392E-2</v>
      </c>
    </row>
    <row r="341" spans="1:7" ht="24" x14ac:dyDescent="0.25">
      <c r="A341" s="15" t="s">
        <v>21</v>
      </c>
      <c r="B341" s="16">
        <v>6000</v>
      </c>
      <c r="C341" s="16">
        <v>6000</v>
      </c>
      <c r="D341" s="18"/>
      <c r="E341" s="18"/>
      <c r="F341" s="17">
        <f t="shared" si="10"/>
        <v>0</v>
      </c>
      <c r="G341" s="17">
        <f t="shared" si="11"/>
        <v>0</v>
      </c>
    </row>
    <row r="342" spans="1:7" x14ac:dyDescent="0.25">
      <c r="A342" s="10" t="s">
        <v>66</v>
      </c>
      <c r="B342" s="11">
        <v>123080</v>
      </c>
      <c r="C342" s="11"/>
      <c r="D342" s="21"/>
      <c r="E342" s="21"/>
      <c r="F342" s="12"/>
      <c r="G342" s="12">
        <f t="shared" si="11"/>
        <v>0</v>
      </c>
    </row>
    <row r="343" spans="1:7" ht="24" x14ac:dyDescent="0.25">
      <c r="A343" s="10" t="s">
        <v>29</v>
      </c>
      <c r="B343" s="11">
        <v>123080</v>
      </c>
      <c r="C343" s="11"/>
      <c r="D343" s="21"/>
      <c r="E343" s="21"/>
      <c r="F343" s="12"/>
      <c r="G343" s="12">
        <f t="shared" si="11"/>
        <v>0</v>
      </c>
    </row>
    <row r="344" spans="1:7" x14ac:dyDescent="0.25">
      <c r="A344" s="15" t="s">
        <v>67</v>
      </c>
      <c r="B344" s="16">
        <v>123080</v>
      </c>
      <c r="C344" s="16"/>
      <c r="D344" s="18"/>
      <c r="E344" s="18"/>
      <c r="F344" s="17"/>
      <c r="G344" s="17">
        <f t="shared" si="11"/>
        <v>0</v>
      </c>
    </row>
    <row r="345" spans="1:7" ht="24" x14ac:dyDescent="0.25">
      <c r="A345" s="10" t="s">
        <v>68</v>
      </c>
      <c r="B345" s="11">
        <v>7436794</v>
      </c>
      <c r="C345" s="11">
        <v>2679574</v>
      </c>
      <c r="D345" s="11">
        <v>1336566.8600000001</v>
      </c>
      <c r="E345" s="11">
        <v>1299357.3799999999</v>
      </c>
      <c r="F345" s="17">
        <f t="shared" si="10"/>
        <v>0.49879826420169776</v>
      </c>
      <c r="G345" s="17">
        <f t="shared" si="11"/>
        <v>0.17972352871412065</v>
      </c>
    </row>
    <row r="346" spans="1:7" ht="24" x14ac:dyDescent="0.25">
      <c r="A346" s="10" t="s">
        <v>69</v>
      </c>
      <c r="B346" s="11">
        <v>3001047</v>
      </c>
      <c r="C346" s="11">
        <v>814658</v>
      </c>
      <c r="D346" s="11">
        <v>450850.82</v>
      </c>
      <c r="E346" s="11">
        <v>450850.82</v>
      </c>
      <c r="F346" s="17">
        <f t="shared" si="10"/>
        <v>0.55342342430811453</v>
      </c>
      <c r="G346" s="17">
        <f t="shared" si="11"/>
        <v>0.15023117598624747</v>
      </c>
    </row>
    <row r="347" spans="1:7" x14ac:dyDescent="0.25">
      <c r="A347" s="15" t="s">
        <v>14</v>
      </c>
      <c r="B347" s="16">
        <v>1751710</v>
      </c>
      <c r="C347" s="16">
        <v>405000</v>
      </c>
      <c r="D347" s="16">
        <v>347306.54</v>
      </c>
      <c r="E347" s="16">
        <v>347306.54</v>
      </c>
      <c r="F347" s="17">
        <f t="shared" si="10"/>
        <v>0.85754701234567898</v>
      </c>
      <c r="G347" s="17">
        <f t="shared" si="11"/>
        <v>0.19826714467577394</v>
      </c>
    </row>
    <row r="348" spans="1:7" x14ac:dyDescent="0.25">
      <c r="A348" s="15" t="s">
        <v>15</v>
      </c>
      <c r="B348" s="16">
        <v>385375</v>
      </c>
      <c r="C348" s="16">
        <v>89100</v>
      </c>
      <c r="D348" s="16">
        <v>76919.48</v>
      </c>
      <c r="E348" s="16">
        <v>76919.48</v>
      </c>
      <c r="F348" s="17">
        <f t="shared" si="10"/>
        <v>0.86329382716049374</v>
      </c>
      <c r="G348" s="17">
        <f t="shared" si="11"/>
        <v>0.19959644502108334</v>
      </c>
    </row>
    <row r="349" spans="1:7" x14ac:dyDescent="0.25">
      <c r="A349" s="15" t="s">
        <v>16</v>
      </c>
      <c r="B349" s="16">
        <v>268700</v>
      </c>
      <c r="C349" s="16">
        <v>129700</v>
      </c>
      <c r="D349" s="16">
        <v>15806.9</v>
      </c>
      <c r="E349" s="16">
        <v>15806.9</v>
      </c>
      <c r="F349" s="17">
        <f t="shared" si="10"/>
        <v>0.1218727833461835</v>
      </c>
      <c r="G349" s="17">
        <f t="shared" si="11"/>
        <v>5.8827316710085599E-2</v>
      </c>
    </row>
    <row r="350" spans="1:7" x14ac:dyDescent="0.25">
      <c r="A350" s="15" t="s">
        <v>17</v>
      </c>
      <c r="B350" s="16">
        <v>285000</v>
      </c>
      <c r="C350" s="16">
        <v>71250</v>
      </c>
      <c r="D350" s="16">
        <v>3600</v>
      </c>
      <c r="E350" s="16">
        <v>3600</v>
      </c>
      <c r="F350" s="17">
        <f t="shared" si="10"/>
        <v>5.0526315789473683E-2</v>
      </c>
      <c r="G350" s="17">
        <f t="shared" si="11"/>
        <v>1.2631578947368421E-2</v>
      </c>
    </row>
    <row r="351" spans="1:7" x14ac:dyDescent="0.25">
      <c r="A351" s="15" t="s">
        <v>18</v>
      </c>
      <c r="B351" s="16">
        <v>125451</v>
      </c>
      <c r="C351" s="16">
        <v>68408</v>
      </c>
      <c r="D351" s="16">
        <v>6552.81</v>
      </c>
      <c r="E351" s="16">
        <v>6552.81</v>
      </c>
      <c r="F351" s="17">
        <f t="shared" si="10"/>
        <v>9.5790112267571045E-2</v>
      </c>
      <c r="G351" s="17">
        <f t="shared" si="11"/>
        <v>5.2234019657077267E-2</v>
      </c>
    </row>
    <row r="352" spans="1:7" x14ac:dyDescent="0.25">
      <c r="A352" s="15" t="s">
        <v>19</v>
      </c>
      <c r="B352" s="16">
        <v>5296</v>
      </c>
      <c r="C352" s="16">
        <v>1500</v>
      </c>
      <c r="D352" s="18"/>
      <c r="E352" s="18"/>
      <c r="F352" s="17">
        <f t="shared" si="10"/>
        <v>0</v>
      </c>
      <c r="G352" s="17">
        <f t="shared" si="11"/>
        <v>0</v>
      </c>
    </row>
    <row r="353" spans="1:7" x14ac:dyDescent="0.25">
      <c r="A353" s="15" t="s">
        <v>20</v>
      </c>
      <c r="B353" s="16">
        <v>176515</v>
      </c>
      <c r="C353" s="16">
        <v>46700</v>
      </c>
      <c r="D353" s="19">
        <v>665.09</v>
      </c>
      <c r="E353" s="19">
        <v>665.09</v>
      </c>
      <c r="F353" s="17">
        <f t="shared" si="10"/>
        <v>1.4241755888650964E-2</v>
      </c>
      <c r="G353" s="17">
        <f t="shared" si="11"/>
        <v>3.7678950797382662E-3</v>
      </c>
    </row>
    <row r="354" spans="1:7" ht="24" x14ac:dyDescent="0.25">
      <c r="A354" s="15" t="s">
        <v>21</v>
      </c>
      <c r="B354" s="16">
        <v>3000</v>
      </c>
      <c r="C354" s="16">
        <v>3000</v>
      </c>
      <c r="D354" s="18"/>
      <c r="E354" s="18"/>
      <c r="F354" s="17">
        <f t="shared" si="10"/>
        <v>0</v>
      </c>
      <c r="G354" s="17">
        <f t="shared" si="11"/>
        <v>0</v>
      </c>
    </row>
    <row r="355" spans="1:7" ht="24" x14ac:dyDescent="0.25">
      <c r="A355" s="10" t="s">
        <v>70</v>
      </c>
      <c r="B355" s="11">
        <v>4435747</v>
      </c>
      <c r="C355" s="11">
        <v>1864916</v>
      </c>
      <c r="D355" s="11">
        <v>885716.04</v>
      </c>
      <c r="E355" s="11">
        <v>848506.56</v>
      </c>
      <c r="F355" s="17">
        <f t="shared" si="10"/>
        <v>0.4749361579824507</v>
      </c>
      <c r="G355" s="17">
        <f t="shared" si="11"/>
        <v>0.1996768616424697</v>
      </c>
    </row>
    <row r="356" spans="1:7" x14ac:dyDescent="0.25">
      <c r="A356" s="15" t="s">
        <v>14</v>
      </c>
      <c r="B356" s="16">
        <v>2140980</v>
      </c>
      <c r="C356" s="16">
        <v>495000</v>
      </c>
      <c r="D356" s="16">
        <v>492794.31</v>
      </c>
      <c r="E356" s="16">
        <v>492794.31</v>
      </c>
      <c r="F356" s="17">
        <f t="shared" si="10"/>
        <v>0.9955440606060606</v>
      </c>
      <c r="G356" s="17">
        <f t="shared" si="11"/>
        <v>0.23017230894263374</v>
      </c>
    </row>
    <row r="357" spans="1:7" x14ac:dyDescent="0.25">
      <c r="A357" s="15" t="s">
        <v>15</v>
      </c>
      <c r="B357" s="16">
        <v>471015</v>
      </c>
      <c r="C357" s="16">
        <v>108900</v>
      </c>
      <c r="D357" s="16">
        <v>108341.74</v>
      </c>
      <c r="E357" s="16">
        <v>108341.74</v>
      </c>
      <c r="F357" s="17">
        <f t="shared" si="10"/>
        <v>0.99487364554637292</v>
      </c>
      <c r="G357" s="17">
        <f t="shared" si="11"/>
        <v>0.23001760028873816</v>
      </c>
    </row>
    <row r="358" spans="1:7" x14ac:dyDescent="0.25">
      <c r="A358" s="15" t="s">
        <v>16</v>
      </c>
      <c r="B358" s="16">
        <v>731300</v>
      </c>
      <c r="C358" s="16">
        <v>400000</v>
      </c>
      <c r="D358" s="16">
        <v>147687.6</v>
      </c>
      <c r="E358" s="16">
        <v>110478.12</v>
      </c>
      <c r="F358" s="17">
        <f t="shared" si="10"/>
        <v>0.36921900000000002</v>
      </c>
      <c r="G358" s="17">
        <f t="shared" si="11"/>
        <v>0.2019521400246137</v>
      </c>
    </row>
    <row r="359" spans="1:7" x14ac:dyDescent="0.25">
      <c r="A359" s="15" t="s">
        <v>17</v>
      </c>
      <c r="B359" s="16">
        <v>660000</v>
      </c>
      <c r="C359" s="16">
        <v>660000</v>
      </c>
      <c r="D359" s="16">
        <v>53494.74</v>
      </c>
      <c r="E359" s="16">
        <v>53494.74</v>
      </c>
      <c r="F359" s="17">
        <f t="shared" si="10"/>
        <v>8.1052636363636354E-2</v>
      </c>
      <c r="G359" s="17">
        <f t="shared" si="11"/>
        <v>8.1052636363636354E-2</v>
      </c>
    </row>
    <row r="360" spans="1:7" x14ac:dyDescent="0.25">
      <c r="A360" s="15" t="s">
        <v>18</v>
      </c>
      <c r="B360" s="16">
        <v>281329</v>
      </c>
      <c r="C360" s="16">
        <v>155574</v>
      </c>
      <c r="D360" s="16">
        <v>67859.92</v>
      </c>
      <c r="E360" s="16">
        <v>67859.92</v>
      </c>
      <c r="F360" s="17">
        <f t="shared" si="10"/>
        <v>0.43619062311183099</v>
      </c>
      <c r="G360" s="17">
        <f t="shared" si="11"/>
        <v>0.24121196179562007</v>
      </c>
    </row>
    <row r="361" spans="1:7" x14ac:dyDescent="0.25">
      <c r="A361" s="15" t="s">
        <v>19</v>
      </c>
      <c r="B361" s="16">
        <v>28123</v>
      </c>
      <c r="C361" s="16">
        <v>8442</v>
      </c>
      <c r="D361" s="16">
        <v>2329.2600000000002</v>
      </c>
      <c r="E361" s="16">
        <v>2329.2600000000002</v>
      </c>
      <c r="F361" s="17">
        <f t="shared" si="10"/>
        <v>0.27591329068941012</v>
      </c>
      <c r="G361" s="17">
        <f t="shared" si="11"/>
        <v>8.2824023041638523E-2</v>
      </c>
    </row>
    <row r="362" spans="1:7" x14ac:dyDescent="0.25">
      <c r="A362" s="15" t="s">
        <v>20</v>
      </c>
      <c r="B362" s="16">
        <v>120000</v>
      </c>
      <c r="C362" s="16">
        <v>34000</v>
      </c>
      <c r="D362" s="16">
        <v>11708.47</v>
      </c>
      <c r="E362" s="16">
        <v>11708.47</v>
      </c>
      <c r="F362" s="17">
        <f t="shared" si="10"/>
        <v>0.34436676470588234</v>
      </c>
      <c r="G362" s="17">
        <f t="shared" si="11"/>
        <v>9.7570583333333322E-2</v>
      </c>
    </row>
    <row r="363" spans="1:7" ht="24" x14ac:dyDescent="0.25">
      <c r="A363" s="15" t="s">
        <v>21</v>
      </c>
      <c r="B363" s="16">
        <v>3000</v>
      </c>
      <c r="C363" s="16">
        <v>3000</v>
      </c>
      <c r="D363" s="16">
        <v>1500</v>
      </c>
      <c r="E363" s="16">
        <v>1500</v>
      </c>
      <c r="F363" s="17">
        <f t="shared" si="10"/>
        <v>0.5</v>
      </c>
      <c r="G363" s="17">
        <f t="shared" si="11"/>
        <v>0.5</v>
      </c>
    </row>
    <row r="364" spans="1:7" ht="24" x14ac:dyDescent="0.25">
      <c r="A364" s="10" t="s">
        <v>71</v>
      </c>
      <c r="B364" s="11">
        <v>4852492</v>
      </c>
      <c r="C364" s="11">
        <v>1650731</v>
      </c>
      <c r="D364" s="11">
        <v>1650731</v>
      </c>
      <c r="E364" s="11">
        <v>1650731</v>
      </c>
      <c r="F364" s="17">
        <f t="shared" si="10"/>
        <v>1</v>
      </c>
      <c r="G364" s="17">
        <f t="shared" si="11"/>
        <v>0.34018211673507137</v>
      </c>
    </row>
    <row r="365" spans="1:7" ht="24" x14ac:dyDescent="0.25">
      <c r="A365" s="10" t="s">
        <v>69</v>
      </c>
      <c r="B365" s="11">
        <v>2000261</v>
      </c>
      <c r="C365" s="11">
        <v>680454</v>
      </c>
      <c r="D365" s="11">
        <v>680454</v>
      </c>
      <c r="E365" s="11">
        <v>680454</v>
      </c>
      <c r="F365" s="17">
        <f t="shared" si="10"/>
        <v>1</v>
      </c>
      <c r="G365" s="17">
        <f t="shared" si="11"/>
        <v>0.34018260616989482</v>
      </c>
    </row>
    <row r="366" spans="1:7" x14ac:dyDescent="0.25">
      <c r="A366" s="15" t="s">
        <v>14</v>
      </c>
      <c r="B366" s="16">
        <v>1639558</v>
      </c>
      <c r="C366" s="16">
        <v>557749</v>
      </c>
      <c r="D366" s="16">
        <v>557749</v>
      </c>
      <c r="E366" s="16">
        <v>557749</v>
      </c>
      <c r="F366" s="17">
        <f t="shared" si="10"/>
        <v>1</v>
      </c>
      <c r="G366" s="17">
        <f t="shared" si="11"/>
        <v>0.34018253700082585</v>
      </c>
    </row>
    <row r="367" spans="1:7" x14ac:dyDescent="0.25">
      <c r="A367" s="15" t="s">
        <v>15</v>
      </c>
      <c r="B367" s="16">
        <v>360703</v>
      </c>
      <c r="C367" s="16">
        <v>122705</v>
      </c>
      <c r="D367" s="16">
        <v>122705</v>
      </c>
      <c r="E367" s="16">
        <v>122705</v>
      </c>
      <c r="F367" s="17">
        <f t="shared" si="10"/>
        <v>1</v>
      </c>
      <c r="G367" s="17">
        <f t="shared" si="11"/>
        <v>0.34018292057454469</v>
      </c>
    </row>
    <row r="368" spans="1:7" ht="24" x14ac:dyDescent="0.25">
      <c r="A368" s="10" t="s">
        <v>70</v>
      </c>
      <c r="B368" s="11">
        <v>2852231</v>
      </c>
      <c r="C368" s="11">
        <v>970277</v>
      </c>
      <c r="D368" s="11">
        <v>970277</v>
      </c>
      <c r="E368" s="11">
        <v>970277</v>
      </c>
      <c r="F368" s="17">
        <f t="shared" si="10"/>
        <v>1</v>
      </c>
      <c r="G368" s="17">
        <f t="shared" si="11"/>
        <v>0.3401817734959055</v>
      </c>
    </row>
    <row r="369" spans="1:7" x14ac:dyDescent="0.25">
      <c r="A369" s="15" t="s">
        <v>14</v>
      </c>
      <c r="B369" s="16">
        <v>2337894</v>
      </c>
      <c r="C369" s="16">
        <v>795309</v>
      </c>
      <c r="D369" s="16">
        <v>795309</v>
      </c>
      <c r="E369" s="16">
        <v>795309</v>
      </c>
      <c r="F369" s="17">
        <f t="shared" si="10"/>
        <v>1</v>
      </c>
      <c r="G369" s="17">
        <f t="shared" si="11"/>
        <v>0.34018180464982589</v>
      </c>
    </row>
    <row r="370" spans="1:7" x14ac:dyDescent="0.25">
      <c r="A370" s="15" t="s">
        <v>15</v>
      </c>
      <c r="B370" s="16">
        <v>514337</v>
      </c>
      <c r="C370" s="16">
        <v>174968</v>
      </c>
      <c r="D370" s="16">
        <v>174968</v>
      </c>
      <c r="E370" s="16">
        <v>174968</v>
      </c>
      <c r="F370" s="17">
        <f t="shared" si="10"/>
        <v>1</v>
      </c>
      <c r="G370" s="17">
        <f t="shared" si="11"/>
        <v>0.34018163188726458</v>
      </c>
    </row>
    <row r="371" spans="1:7" ht="60" x14ac:dyDescent="0.25">
      <c r="A371" s="10" t="s">
        <v>72</v>
      </c>
      <c r="B371" s="11">
        <v>3661100</v>
      </c>
      <c r="C371" s="11">
        <v>1098900</v>
      </c>
      <c r="D371" s="11">
        <v>1098900</v>
      </c>
      <c r="E371" s="11">
        <v>1082421.3999999999</v>
      </c>
      <c r="F371" s="12">
        <f t="shared" si="10"/>
        <v>1</v>
      </c>
      <c r="G371" s="12">
        <f t="shared" si="11"/>
        <v>0.30015569091256727</v>
      </c>
    </row>
    <row r="372" spans="1:7" ht="24" x14ac:dyDescent="0.25">
      <c r="A372" s="10" t="s">
        <v>35</v>
      </c>
      <c r="B372" s="11">
        <v>119999</v>
      </c>
      <c r="C372" s="11">
        <v>59997</v>
      </c>
      <c r="D372" s="11">
        <v>59997</v>
      </c>
      <c r="E372" s="11">
        <v>59798.74</v>
      </c>
      <c r="F372" s="12">
        <f t="shared" si="10"/>
        <v>1</v>
      </c>
      <c r="G372" s="12">
        <f t="shared" si="11"/>
        <v>0.49997916649305413</v>
      </c>
    </row>
    <row r="373" spans="1:7" x14ac:dyDescent="0.25">
      <c r="A373" s="15" t="s">
        <v>14</v>
      </c>
      <c r="B373" s="16">
        <v>98360</v>
      </c>
      <c r="C373" s="16">
        <v>49179</v>
      </c>
      <c r="D373" s="16">
        <v>49179</v>
      </c>
      <c r="E373" s="16">
        <v>49015.360000000001</v>
      </c>
      <c r="F373" s="17">
        <f t="shared" si="10"/>
        <v>1</v>
      </c>
      <c r="G373" s="17">
        <f t="shared" si="11"/>
        <v>0.49998983326555513</v>
      </c>
    </row>
    <row r="374" spans="1:7" x14ac:dyDescent="0.25">
      <c r="A374" s="15" t="s">
        <v>15</v>
      </c>
      <c r="B374" s="16">
        <v>21639</v>
      </c>
      <c r="C374" s="16">
        <v>10818</v>
      </c>
      <c r="D374" s="16">
        <v>10818</v>
      </c>
      <c r="E374" s="16">
        <v>10783.38</v>
      </c>
      <c r="F374" s="17">
        <f t="shared" si="10"/>
        <v>1</v>
      </c>
      <c r="G374" s="17">
        <f t="shared" si="11"/>
        <v>0.499930680715375</v>
      </c>
    </row>
    <row r="375" spans="1:7" x14ac:dyDescent="0.25">
      <c r="A375" s="10" t="s">
        <v>41</v>
      </c>
      <c r="B375" s="11">
        <v>147273</v>
      </c>
      <c r="C375" s="11">
        <v>73932</v>
      </c>
      <c r="D375" s="11">
        <v>73932</v>
      </c>
      <c r="E375" s="11">
        <v>69341.100000000006</v>
      </c>
      <c r="F375" s="17">
        <f t="shared" si="10"/>
        <v>1</v>
      </c>
      <c r="G375" s="17">
        <f t="shared" si="11"/>
        <v>0.50200647776578189</v>
      </c>
    </row>
    <row r="376" spans="1:7" x14ac:dyDescent="0.25">
      <c r="A376" s="15" t="s">
        <v>14</v>
      </c>
      <c r="B376" s="16">
        <v>120716</v>
      </c>
      <c r="C376" s="16">
        <v>60600</v>
      </c>
      <c r="D376" s="16">
        <v>60600</v>
      </c>
      <c r="E376" s="16">
        <v>56836.959999999999</v>
      </c>
      <c r="F376" s="17">
        <f t="shared" si="10"/>
        <v>1</v>
      </c>
      <c r="G376" s="17">
        <f t="shared" si="11"/>
        <v>0.50200470525862351</v>
      </c>
    </row>
    <row r="377" spans="1:7" x14ac:dyDescent="0.25">
      <c r="A377" s="15" t="s">
        <v>15</v>
      </c>
      <c r="B377" s="16">
        <v>26557</v>
      </c>
      <c r="C377" s="16">
        <v>13332</v>
      </c>
      <c r="D377" s="16">
        <v>13332</v>
      </c>
      <c r="E377" s="16">
        <v>12504.14</v>
      </c>
      <c r="F377" s="17">
        <f t="shared" si="10"/>
        <v>1</v>
      </c>
      <c r="G377" s="17">
        <f t="shared" si="11"/>
        <v>0.50201453477425917</v>
      </c>
    </row>
    <row r="378" spans="1:7" x14ac:dyDescent="0.25">
      <c r="A378" s="10" t="s">
        <v>37</v>
      </c>
      <c r="B378" s="11">
        <v>12622</v>
      </c>
      <c r="C378" s="11">
        <v>6814</v>
      </c>
      <c r="D378" s="11">
        <v>6814</v>
      </c>
      <c r="E378" s="11">
        <v>6679.65</v>
      </c>
      <c r="F378" s="17">
        <f t="shared" si="10"/>
        <v>1</v>
      </c>
      <c r="G378" s="17">
        <f t="shared" si="11"/>
        <v>0.53985105371573439</v>
      </c>
    </row>
    <row r="379" spans="1:7" x14ac:dyDescent="0.25">
      <c r="A379" s="15" t="s">
        <v>14</v>
      </c>
      <c r="B379" s="16">
        <v>10346</v>
      </c>
      <c r="C379" s="16">
        <v>5585</v>
      </c>
      <c r="D379" s="16">
        <v>5585</v>
      </c>
      <c r="E379" s="16">
        <v>5475.12</v>
      </c>
      <c r="F379" s="17">
        <f t="shared" si="10"/>
        <v>1</v>
      </c>
      <c r="G379" s="17">
        <f t="shared" si="11"/>
        <v>0.53982215348927121</v>
      </c>
    </row>
    <row r="380" spans="1:7" x14ac:dyDescent="0.25">
      <c r="A380" s="15" t="s">
        <v>15</v>
      </c>
      <c r="B380" s="16">
        <v>2276</v>
      </c>
      <c r="C380" s="16">
        <v>1229</v>
      </c>
      <c r="D380" s="16">
        <v>1229</v>
      </c>
      <c r="E380" s="16">
        <v>1204.53</v>
      </c>
      <c r="F380" s="17">
        <f t="shared" si="10"/>
        <v>1</v>
      </c>
      <c r="G380" s="17">
        <f t="shared" si="11"/>
        <v>0.53998242530755713</v>
      </c>
    </row>
    <row r="381" spans="1:7" ht="24" x14ac:dyDescent="0.25">
      <c r="A381" s="10" t="s">
        <v>43</v>
      </c>
      <c r="B381" s="11">
        <v>54697</v>
      </c>
      <c r="C381" s="11">
        <v>27084</v>
      </c>
      <c r="D381" s="11">
        <v>27084</v>
      </c>
      <c r="E381" s="11">
        <v>26718.59</v>
      </c>
      <c r="F381" s="17">
        <f t="shared" si="10"/>
        <v>1</v>
      </c>
      <c r="G381" s="17">
        <f t="shared" si="11"/>
        <v>0.49516426860705343</v>
      </c>
    </row>
    <row r="382" spans="1:7" x14ac:dyDescent="0.25">
      <c r="A382" s="15" t="s">
        <v>14</v>
      </c>
      <c r="B382" s="16">
        <v>44834</v>
      </c>
      <c r="C382" s="16">
        <v>22200</v>
      </c>
      <c r="D382" s="16">
        <v>22200</v>
      </c>
      <c r="E382" s="16">
        <v>21900.48</v>
      </c>
      <c r="F382" s="17">
        <f t="shared" si="10"/>
        <v>1</v>
      </c>
      <c r="G382" s="17">
        <f t="shared" si="11"/>
        <v>0.4951599232725164</v>
      </c>
    </row>
    <row r="383" spans="1:7" x14ac:dyDescent="0.25">
      <c r="A383" s="15" t="s">
        <v>15</v>
      </c>
      <c r="B383" s="16">
        <v>9863</v>
      </c>
      <c r="C383" s="16">
        <v>4884</v>
      </c>
      <c r="D383" s="16">
        <v>4884</v>
      </c>
      <c r="E383" s="16">
        <v>4818.1099999999997</v>
      </c>
      <c r="F383" s="17">
        <f t="shared" si="10"/>
        <v>1</v>
      </c>
      <c r="G383" s="17">
        <f t="shared" si="11"/>
        <v>0.49518402108891818</v>
      </c>
    </row>
    <row r="384" spans="1:7" ht="24" x14ac:dyDescent="0.25">
      <c r="A384" s="10" t="s">
        <v>29</v>
      </c>
      <c r="B384" s="11">
        <v>3297061</v>
      </c>
      <c r="C384" s="11">
        <v>901625</v>
      </c>
      <c r="D384" s="11">
        <v>901625</v>
      </c>
      <c r="E384" s="11">
        <v>901275.73</v>
      </c>
      <c r="F384" s="17">
        <f t="shared" si="10"/>
        <v>1</v>
      </c>
      <c r="G384" s="17">
        <f t="shared" si="11"/>
        <v>0.27346324499304075</v>
      </c>
    </row>
    <row r="385" spans="1:7" x14ac:dyDescent="0.25">
      <c r="A385" s="15" t="s">
        <v>14</v>
      </c>
      <c r="B385" s="16">
        <v>2702503</v>
      </c>
      <c r="C385" s="16">
        <v>738895</v>
      </c>
      <c r="D385" s="16">
        <v>738895</v>
      </c>
      <c r="E385" s="16">
        <v>738750.59</v>
      </c>
      <c r="F385" s="17">
        <f t="shared" si="10"/>
        <v>1</v>
      </c>
      <c r="G385" s="17">
        <f t="shared" si="11"/>
        <v>0.27341135236482622</v>
      </c>
    </row>
    <row r="386" spans="1:7" x14ac:dyDescent="0.25">
      <c r="A386" s="15" t="s">
        <v>15</v>
      </c>
      <c r="B386" s="16">
        <v>594558</v>
      </c>
      <c r="C386" s="16">
        <v>162730</v>
      </c>
      <c r="D386" s="16">
        <v>162730</v>
      </c>
      <c r="E386" s="16">
        <v>162525.14000000001</v>
      </c>
      <c r="F386" s="17">
        <f t="shared" si="10"/>
        <v>1</v>
      </c>
      <c r="G386" s="17">
        <f t="shared" si="11"/>
        <v>0.27369911766387806</v>
      </c>
    </row>
    <row r="387" spans="1:7" x14ac:dyDescent="0.25">
      <c r="A387" s="10" t="s">
        <v>46</v>
      </c>
      <c r="B387" s="11">
        <v>29448</v>
      </c>
      <c r="C387" s="11">
        <v>29448</v>
      </c>
      <c r="D387" s="11">
        <v>29448</v>
      </c>
      <c r="E387" s="11">
        <v>18607.59</v>
      </c>
      <c r="F387" s="17">
        <f t="shared" si="10"/>
        <v>1</v>
      </c>
      <c r="G387" s="17">
        <f t="shared" si="11"/>
        <v>1</v>
      </c>
    </row>
    <row r="388" spans="1:7" x14ac:dyDescent="0.25">
      <c r="A388" s="15" t="s">
        <v>14</v>
      </c>
      <c r="B388" s="16">
        <v>24141</v>
      </c>
      <c r="C388" s="16">
        <v>24141</v>
      </c>
      <c r="D388" s="16">
        <v>24141</v>
      </c>
      <c r="E388" s="16">
        <v>15252.12</v>
      </c>
      <c r="F388" s="17">
        <f t="shared" si="10"/>
        <v>1</v>
      </c>
      <c r="G388" s="17">
        <f t="shared" si="11"/>
        <v>1</v>
      </c>
    </row>
    <row r="389" spans="1:7" x14ac:dyDescent="0.25">
      <c r="A389" s="15" t="s">
        <v>15</v>
      </c>
      <c r="B389" s="16">
        <v>5307</v>
      </c>
      <c r="C389" s="16">
        <v>5307</v>
      </c>
      <c r="D389" s="16">
        <v>5307</v>
      </c>
      <c r="E389" s="16">
        <v>3355.47</v>
      </c>
      <c r="F389" s="17">
        <f t="shared" si="10"/>
        <v>1</v>
      </c>
      <c r="G389" s="17">
        <f t="shared" si="11"/>
        <v>1</v>
      </c>
    </row>
    <row r="390" spans="1:7" ht="36" x14ac:dyDescent="0.25">
      <c r="A390" s="10" t="s">
        <v>73</v>
      </c>
      <c r="B390" s="11">
        <v>42045300</v>
      </c>
      <c r="C390" s="11">
        <v>20463855</v>
      </c>
      <c r="D390" s="11">
        <v>20463855</v>
      </c>
      <c r="E390" s="11">
        <v>18261326.760000002</v>
      </c>
      <c r="F390" s="12">
        <f t="shared" ref="F390:F453" si="12">D390/C390</f>
        <v>1</v>
      </c>
      <c r="G390" s="12">
        <f t="shared" ref="G390:G453" si="13">D390/B390</f>
        <v>0.48670969168967754</v>
      </c>
    </row>
    <row r="391" spans="1:7" ht="24" x14ac:dyDescent="0.25">
      <c r="A391" s="10" t="s">
        <v>35</v>
      </c>
      <c r="B391" s="11">
        <v>1589727</v>
      </c>
      <c r="C391" s="11">
        <v>794862</v>
      </c>
      <c r="D391" s="11">
        <v>794862</v>
      </c>
      <c r="E391" s="11">
        <v>713339</v>
      </c>
      <c r="F391" s="12">
        <f t="shared" si="12"/>
        <v>1</v>
      </c>
      <c r="G391" s="12">
        <f t="shared" si="13"/>
        <v>0.4999990564417664</v>
      </c>
    </row>
    <row r="392" spans="1:7" x14ac:dyDescent="0.25">
      <c r="A392" s="15" t="s">
        <v>14</v>
      </c>
      <c r="B392" s="16">
        <v>1303055</v>
      </c>
      <c r="C392" s="16">
        <v>651525</v>
      </c>
      <c r="D392" s="16">
        <v>651525</v>
      </c>
      <c r="E392" s="16">
        <v>584704.09</v>
      </c>
      <c r="F392" s="17">
        <f t="shared" si="12"/>
        <v>1</v>
      </c>
      <c r="G392" s="17">
        <f t="shared" si="13"/>
        <v>0.49999808143171243</v>
      </c>
    </row>
    <row r="393" spans="1:7" x14ac:dyDescent="0.25">
      <c r="A393" s="15" t="s">
        <v>15</v>
      </c>
      <c r="B393" s="16">
        <v>286672</v>
      </c>
      <c r="C393" s="16">
        <v>143337</v>
      </c>
      <c r="D393" s="16">
        <v>143337</v>
      </c>
      <c r="E393" s="16">
        <v>128634.91</v>
      </c>
      <c r="F393" s="17">
        <f t="shared" si="12"/>
        <v>1</v>
      </c>
      <c r="G393" s="17">
        <f t="shared" si="13"/>
        <v>0.50000348830719432</v>
      </c>
    </row>
    <row r="394" spans="1:7" x14ac:dyDescent="0.25">
      <c r="A394" s="10" t="s">
        <v>41</v>
      </c>
      <c r="B394" s="11">
        <v>1618438</v>
      </c>
      <c r="C394" s="11">
        <v>825035</v>
      </c>
      <c r="D394" s="11">
        <v>825035</v>
      </c>
      <c r="E394" s="11">
        <v>810781.43</v>
      </c>
      <c r="F394" s="12">
        <f t="shared" si="12"/>
        <v>1</v>
      </c>
      <c r="G394" s="12">
        <f t="shared" si="13"/>
        <v>0.5097723854729066</v>
      </c>
    </row>
    <row r="395" spans="1:7" x14ac:dyDescent="0.25">
      <c r="A395" s="15" t="s">
        <v>14</v>
      </c>
      <c r="B395" s="16">
        <v>1326588</v>
      </c>
      <c r="C395" s="16">
        <v>676258</v>
      </c>
      <c r="D395" s="16">
        <v>676258</v>
      </c>
      <c r="E395" s="16">
        <v>664574.93999999994</v>
      </c>
      <c r="F395" s="17">
        <f t="shared" si="12"/>
        <v>1</v>
      </c>
      <c r="G395" s="17">
        <f t="shared" si="13"/>
        <v>0.50977243876772593</v>
      </c>
    </row>
    <row r="396" spans="1:7" x14ac:dyDescent="0.25">
      <c r="A396" s="15" t="s">
        <v>15</v>
      </c>
      <c r="B396" s="16">
        <v>291850</v>
      </c>
      <c r="C396" s="16">
        <v>148777</v>
      </c>
      <c r="D396" s="16">
        <v>148777</v>
      </c>
      <c r="E396" s="16">
        <v>146206.49</v>
      </c>
      <c r="F396" s="17">
        <f t="shared" si="12"/>
        <v>1</v>
      </c>
      <c r="G396" s="17">
        <f t="shared" si="13"/>
        <v>0.50977214322425901</v>
      </c>
    </row>
    <row r="397" spans="1:7" x14ac:dyDescent="0.25">
      <c r="A397" s="10" t="s">
        <v>37</v>
      </c>
      <c r="B397" s="11">
        <v>1758375</v>
      </c>
      <c r="C397" s="11">
        <v>905027</v>
      </c>
      <c r="D397" s="11">
        <v>905027</v>
      </c>
      <c r="E397" s="11">
        <v>901681.27</v>
      </c>
      <c r="F397" s="12">
        <f t="shared" si="12"/>
        <v>1</v>
      </c>
      <c r="G397" s="12">
        <f t="shared" si="13"/>
        <v>0.51469510201180069</v>
      </c>
    </row>
    <row r="398" spans="1:7" x14ac:dyDescent="0.25">
      <c r="A398" s="15" t="s">
        <v>14</v>
      </c>
      <c r="B398" s="16">
        <v>1441290</v>
      </c>
      <c r="C398" s="16">
        <v>741825</v>
      </c>
      <c r="D398" s="16">
        <v>741825</v>
      </c>
      <c r="E398" s="16">
        <v>739083.01</v>
      </c>
      <c r="F398" s="17">
        <f t="shared" si="12"/>
        <v>1</v>
      </c>
      <c r="G398" s="17">
        <f t="shared" si="13"/>
        <v>0.51469516891118372</v>
      </c>
    </row>
    <row r="399" spans="1:7" x14ac:dyDescent="0.25">
      <c r="A399" s="15" t="s">
        <v>15</v>
      </c>
      <c r="B399" s="16">
        <v>317085</v>
      </c>
      <c r="C399" s="16">
        <v>163202</v>
      </c>
      <c r="D399" s="16">
        <v>163202</v>
      </c>
      <c r="E399" s="16">
        <v>162598.26</v>
      </c>
      <c r="F399" s="17">
        <f t="shared" si="12"/>
        <v>1</v>
      </c>
      <c r="G399" s="17">
        <f t="shared" si="13"/>
        <v>0.51469479792484663</v>
      </c>
    </row>
    <row r="400" spans="1:7" ht="24" x14ac:dyDescent="0.25">
      <c r="A400" s="10" t="s">
        <v>43</v>
      </c>
      <c r="B400" s="11">
        <v>941885</v>
      </c>
      <c r="C400" s="11">
        <v>492608</v>
      </c>
      <c r="D400" s="11">
        <v>492608</v>
      </c>
      <c r="E400" s="11">
        <v>488859.26</v>
      </c>
      <c r="F400" s="12">
        <f t="shared" si="12"/>
        <v>1</v>
      </c>
      <c r="G400" s="12">
        <f t="shared" si="13"/>
        <v>0.52300227734808391</v>
      </c>
    </row>
    <row r="401" spans="1:7" x14ac:dyDescent="0.25">
      <c r="A401" s="15" t="s">
        <v>14</v>
      </c>
      <c r="B401" s="16">
        <v>772037</v>
      </c>
      <c r="C401" s="16">
        <v>403777</v>
      </c>
      <c r="D401" s="16">
        <v>403777</v>
      </c>
      <c r="E401" s="16">
        <v>400704.26</v>
      </c>
      <c r="F401" s="17">
        <f t="shared" si="12"/>
        <v>1</v>
      </c>
      <c r="G401" s="17">
        <f t="shared" si="13"/>
        <v>0.52300213590799405</v>
      </c>
    </row>
    <row r="402" spans="1:7" x14ac:dyDescent="0.25">
      <c r="A402" s="15" t="s">
        <v>15</v>
      </c>
      <c r="B402" s="16">
        <v>169848</v>
      </c>
      <c r="C402" s="16">
        <v>88831</v>
      </c>
      <c r="D402" s="16">
        <v>88831</v>
      </c>
      <c r="E402" s="16">
        <v>88155</v>
      </c>
      <c r="F402" s="17">
        <f t="shared" si="12"/>
        <v>1</v>
      </c>
      <c r="G402" s="17">
        <f t="shared" si="13"/>
        <v>0.52300292025811312</v>
      </c>
    </row>
    <row r="403" spans="1:7" ht="24" x14ac:dyDescent="0.25">
      <c r="A403" s="10" t="s">
        <v>29</v>
      </c>
      <c r="B403" s="11">
        <v>34318526</v>
      </c>
      <c r="C403" s="11">
        <v>16537146</v>
      </c>
      <c r="D403" s="11">
        <v>16537146</v>
      </c>
      <c r="E403" s="11">
        <v>14501727.9</v>
      </c>
      <c r="F403" s="12">
        <f t="shared" si="12"/>
        <v>1</v>
      </c>
      <c r="G403" s="12">
        <f t="shared" si="13"/>
        <v>0.48187226922275156</v>
      </c>
    </row>
    <row r="404" spans="1:7" x14ac:dyDescent="0.25">
      <c r="A404" s="15" t="s">
        <v>14</v>
      </c>
      <c r="B404" s="16">
        <v>28129980</v>
      </c>
      <c r="C404" s="16">
        <v>13555060</v>
      </c>
      <c r="D404" s="16">
        <v>13555060</v>
      </c>
      <c r="E404" s="16">
        <v>11886662.220000001</v>
      </c>
      <c r="F404" s="17">
        <f t="shared" si="12"/>
        <v>1</v>
      </c>
      <c r="G404" s="17">
        <f t="shared" si="13"/>
        <v>0.48187236535539663</v>
      </c>
    </row>
    <row r="405" spans="1:7" x14ac:dyDescent="0.25">
      <c r="A405" s="15" t="s">
        <v>15</v>
      </c>
      <c r="B405" s="16">
        <v>6188546</v>
      </c>
      <c r="C405" s="16">
        <v>2982086</v>
      </c>
      <c r="D405" s="16">
        <v>2982086</v>
      </c>
      <c r="E405" s="16">
        <v>2615065.6800000002</v>
      </c>
      <c r="F405" s="17">
        <f t="shared" si="12"/>
        <v>1</v>
      </c>
      <c r="G405" s="17">
        <f t="shared" si="13"/>
        <v>0.48187183225268099</v>
      </c>
    </row>
    <row r="406" spans="1:7" x14ac:dyDescent="0.25">
      <c r="A406" s="10" t="s">
        <v>46</v>
      </c>
      <c r="B406" s="11">
        <v>1818349</v>
      </c>
      <c r="C406" s="11">
        <v>909177</v>
      </c>
      <c r="D406" s="11">
        <v>909177</v>
      </c>
      <c r="E406" s="11">
        <v>844937.9</v>
      </c>
      <c r="F406" s="12">
        <f t="shared" si="12"/>
        <v>1</v>
      </c>
      <c r="G406" s="12">
        <f t="shared" si="13"/>
        <v>0.50000137487358043</v>
      </c>
    </row>
    <row r="407" spans="1:7" x14ac:dyDescent="0.25">
      <c r="A407" s="15" t="s">
        <v>14</v>
      </c>
      <c r="B407" s="16">
        <v>1490450</v>
      </c>
      <c r="C407" s="16">
        <v>745227</v>
      </c>
      <c r="D407" s="16">
        <v>745227</v>
      </c>
      <c r="E407" s="16">
        <v>692572.02</v>
      </c>
      <c r="F407" s="17">
        <f t="shared" si="12"/>
        <v>1</v>
      </c>
      <c r="G407" s="17">
        <f t="shared" si="13"/>
        <v>0.50000134187661449</v>
      </c>
    </row>
    <row r="408" spans="1:7" x14ac:dyDescent="0.25">
      <c r="A408" s="15" t="s">
        <v>15</v>
      </c>
      <c r="B408" s="16">
        <v>327899</v>
      </c>
      <c r="C408" s="16">
        <v>163950</v>
      </c>
      <c r="D408" s="16">
        <v>163950</v>
      </c>
      <c r="E408" s="16">
        <v>152365.88</v>
      </c>
      <c r="F408" s="17">
        <f t="shared" si="12"/>
        <v>1</v>
      </c>
      <c r="G408" s="17">
        <f t="shared" si="13"/>
        <v>0.5000015248597891</v>
      </c>
    </row>
    <row r="409" spans="1:7" x14ac:dyDescent="0.25">
      <c r="A409" s="7" t="s">
        <v>74</v>
      </c>
      <c r="B409" s="8">
        <v>79191394</v>
      </c>
      <c r="C409" s="8">
        <f>C410+C423+C427+C438+C449+C452+C461</f>
        <v>20241746</v>
      </c>
      <c r="D409" s="8">
        <v>16973445.100000001</v>
      </c>
      <c r="E409" s="8">
        <v>16781781.890000001</v>
      </c>
      <c r="F409" s="9">
        <f t="shared" si="12"/>
        <v>0.83853661141682156</v>
      </c>
      <c r="G409" s="9">
        <f t="shared" si="13"/>
        <v>0.21433446543446377</v>
      </c>
    </row>
    <row r="410" spans="1:7" ht="24" x14ac:dyDescent="0.25">
      <c r="A410" s="10" t="s">
        <v>75</v>
      </c>
      <c r="B410" s="11">
        <v>35275843</v>
      </c>
      <c r="C410" s="11">
        <v>8897902</v>
      </c>
      <c r="D410" s="11">
        <v>7364315</v>
      </c>
      <c r="E410" s="11">
        <v>7315408.79</v>
      </c>
      <c r="F410" s="12">
        <f t="shared" si="12"/>
        <v>0.82764622491908768</v>
      </c>
      <c r="G410" s="12">
        <f t="shared" si="13"/>
        <v>0.20876368567577536</v>
      </c>
    </row>
    <row r="411" spans="1:7" ht="24" x14ac:dyDescent="0.25">
      <c r="A411" s="10" t="s">
        <v>76</v>
      </c>
      <c r="B411" s="11">
        <v>35275843</v>
      </c>
      <c r="C411" s="11">
        <v>8897902</v>
      </c>
      <c r="D411" s="11">
        <v>7364315</v>
      </c>
      <c r="E411" s="11">
        <v>7315408.79</v>
      </c>
      <c r="F411" s="12">
        <f t="shared" si="12"/>
        <v>0.82764622491908768</v>
      </c>
      <c r="G411" s="12">
        <f t="shared" si="13"/>
        <v>0.20876368567577536</v>
      </c>
    </row>
    <row r="412" spans="1:7" x14ac:dyDescent="0.25">
      <c r="A412" s="15" t="s">
        <v>14</v>
      </c>
      <c r="B412" s="16">
        <v>23476702</v>
      </c>
      <c r="C412" s="16">
        <v>5769900</v>
      </c>
      <c r="D412" s="16">
        <v>5208455.4400000004</v>
      </c>
      <c r="E412" s="16">
        <v>5208455.4400000004</v>
      </c>
      <c r="F412" s="17">
        <f t="shared" si="12"/>
        <v>0.90269423040260666</v>
      </c>
      <c r="G412" s="17">
        <f t="shared" si="13"/>
        <v>0.22185635103261098</v>
      </c>
    </row>
    <row r="413" spans="1:7" x14ac:dyDescent="0.25">
      <c r="A413" s="15" t="s">
        <v>15</v>
      </c>
      <c r="B413" s="16">
        <v>5164874</v>
      </c>
      <c r="C413" s="16">
        <v>1269378</v>
      </c>
      <c r="D413" s="16">
        <v>1131262.77</v>
      </c>
      <c r="E413" s="16">
        <v>1131262.77</v>
      </c>
      <c r="F413" s="17">
        <f t="shared" si="12"/>
        <v>0.89119456143087405</v>
      </c>
      <c r="G413" s="17">
        <f t="shared" si="13"/>
        <v>0.21903008088871093</v>
      </c>
    </row>
    <row r="414" spans="1:7" x14ac:dyDescent="0.25">
      <c r="A414" s="15" t="s">
        <v>16</v>
      </c>
      <c r="B414" s="16">
        <v>1868917</v>
      </c>
      <c r="C414" s="16">
        <v>320000</v>
      </c>
      <c r="D414" s="16">
        <v>313847.34999999998</v>
      </c>
      <c r="E414" s="16">
        <v>264941.14</v>
      </c>
      <c r="F414" s="17">
        <f t="shared" si="12"/>
        <v>0.98077296874999997</v>
      </c>
      <c r="G414" s="17">
        <f t="shared" si="13"/>
        <v>0.16793006323983353</v>
      </c>
    </row>
    <row r="415" spans="1:7" x14ac:dyDescent="0.25">
      <c r="A415" s="15" t="s">
        <v>36</v>
      </c>
      <c r="B415" s="16">
        <v>200000</v>
      </c>
      <c r="C415" s="16">
        <v>50000</v>
      </c>
      <c r="D415" s="16">
        <v>49480</v>
      </c>
      <c r="E415" s="16">
        <v>49480</v>
      </c>
      <c r="F415" s="17">
        <f t="shared" si="12"/>
        <v>0.98960000000000004</v>
      </c>
      <c r="G415" s="17">
        <f t="shared" si="13"/>
        <v>0.24740000000000001</v>
      </c>
    </row>
    <row r="416" spans="1:7" x14ac:dyDescent="0.25">
      <c r="A416" s="15" t="s">
        <v>42</v>
      </c>
      <c r="B416" s="16">
        <v>1213716</v>
      </c>
      <c r="C416" s="16">
        <v>302316</v>
      </c>
      <c r="D416" s="16">
        <v>180915</v>
      </c>
      <c r="E416" s="16">
        <v>180915</v>
      </c>
      <c r="F416" s="17">
        <f t="shared" si="12"/>
        <v>0.59843011947763269</v>
      </c>
      <c r="G416" s="17">
        <f t="shared" si="13"/>
        <v>0.1490587583915842</v>
      </c>
    </row>
    <row r="417" spans="1:7" x14ac:dyDescent="0.25">
      <c r="A417" s="15" t="s">
        <v>17</v>
      </c>
      <c r="B417" s="16">
        <v>855300</v>
      </c>
      <c r="C417" s="16">
        <v>150000</v>
      </c>
      <c r="D417" s="16">
        <v>60637.599999999999</v>
      </c>
      <c r="E417" s="16">
        <v>60637.599999999999</v>
      </c>
      <c r="F417" s="17">
        <f t="shared" si="12"/>
        <v>0.40425066666666665</v>
      </c>
      <c r="G417" s="17">
        <f t="shared" si="13"/>
        <v>7.0896293698117618E-2</v>
      </c>
    </row>
    <row r="418" spans="1:7" x14ac:dyDescent="0.25">
      <c r="A418" s="15" t="s">
        <v>18</v>
      </c>
      <c r="B418" s="16">
        <v>1768286</v>
      </c>
      <c r="C418" s="16">
        <v>853908</v>
      </c>
      <c r="D418" s="16">
        <v>377303.38</v>
      </c>
      <c r="E418" s="16">
        <v>377303.38</v>
      </c>
      <c r="F418" s="17">
        <f t="shared" si="12"/>
        <v>0.44185483682082849</v>
      </c>
      <c r="G418" s="17">
        <f t="shared" si="13"/>
        <v>0.21337237302110632</v>
      </c>
    </row>
    <row r="419" spans="1:7" x14ac:dyDescent="0.25">
      <c r="A419" s="15" t="s">
        <v>19</v>
      </c>
      <c r="B419" s="16">
        <v>44466</v>
      </c>
      <c r="C419" s="16">
        <v>11100</v>
      </c>
      <c r="D419" s="16">
        <v>4666.67</v>
      </c>
      <c r="E419" s="16">
        <v>4666.67</v>
      </c>
      <c r="F419" s="17">
        <f t="shared" si="12"/>
        <v>0.42042072072072073</v>
      </c>
      <c r="G419" s="17">
        <f t="shared" si="13"/>
        <v>0.1049491746502946</v>
      </c>
    </row>
    <row r="420" spans="1:7" x14ac:dyDescent="0.25">
      <c r="A420" s="15" t="s">
        <v>20</v>
      </c>
      <c r="B420" s="16">
        <v>639000</v>
      </c>
      <c r="C420" s="16">
        <v>168150</v>
      </c>
      <c r="D420" s="16">
        <v>34601.370000000003</v>
      </c>
      <c r="E420" s="16">
        <v>34601.370000000003</v>
      </c>
      <c r="F420" s="17">
        <f t="shared" si="12"/>
        <v>0.20577680642283677</v>
      </c>
      <c r="G420" s="17">
        <f t="shared" si="13"/>
        <v>5.4149248826291081E-2</v>
      </c>
    </row>
    <row r="421" spans="1:7" ht="24" x14ac:dyDescent="0.25">
      <c r="A421" s="15" t="s">
        <v>32</v>
      </c>
      <c r="B421" s="16">
        <v>12582</v>
      </c>
      <c r="C421" s="16">
        <v>3150</v>
      </c>
      <c r="D421" s="16">
        <v>3145.42</v>
      </c>
      <c r="E421" s="16">
        <v>3145.42</v>
      </c>
      <c r="F421" s="17">
        <f t="shared" si="12"/>
        <v>0.99854603174603174</v>
      </c>
      <c r="G421" s="17">
        <f t="shared" si="13"/>
        <v>0.24999364171037991</v>
      </c>
    </row>
    <row r="422" spans="1:7" ht="24" x14ac:dyDescent="0.25">
      <c r="A422" s="15" t="s">
        <v>21</v>
      </c>
      <c r="B422" s="16">
        <v>32000</v>
      </c>
      <c r="C422" s="18"/>
      <c r="D422" s="18"/>
      <c r="E422" s="18"/>
      <c r="F422" s="17"/>
      <c r="G422" s="17">
        <f t="shared" si="13"/>
        <v>0</v>
      </c>
    </row>
    <row r="423" spans="1:7" ht="36" x14ac:dyDescent="0.25">
      <c r="A423" s="10" t="s">
        <v>77</v>
      </c>
      <c r="B423" s="11">
        <v>181600</v>
      </c>
      <c r="C423" s="21"/>
      <c r="D423" s="21"/>
      <c r="E423" s="21"/>
      <c r="F423" s="17"/>
      <c r="G423" s="17">
        <f t="shared" si="13"/>
        <v>0</v>
      </c>
    </row>
    <row r="424" spans="1:7" ht="24" x14ac:dyDescent="0.25">
      <c r="A424" s="10" t="s">
        <v>30</v>
      </c>
      <c r="B424" s="11">
        <v>181600</v>
      </c>
      <c r="C424" s="21"/>
      <c r="D424" s="21"/>
      <c r="E424" s="21"/>
      <c r="F424" s="17"/>
      <c r="G424" s="17">
        <f t="shared" si="13"/>
        <v>0</v>
      </c>
    </row>
    <row r="425" spans="1:7" x14ac:dyDescent="0.25">
      <c r="A425" s="15" t="s">
        <v>16</v>
      </c>
      <c r="B425" s="16">
        <v>101600</v>
      </c>
      <c r="C425" s="18"/>
      <c r="D425" s="18"/>
      <c r="E425" s="18"/>
      <c r="F425" s="17"/>
      <c r="G425" s="17">
        <f t="shared" si="13"/>
        <v>0</v>
      </c>
    </row>
    <row r="426" spans="1:7" x14ac:dyDescent="0.25">
      <c r="A426" s="15" t="s">
        <v>17</v>
      </c>
      <c r="B426" s="16">
        <v>80000</v>
      </c>
      <c r="C426" s="18"/>
      <c r="D426" s="18"/>
      <c r="E426" s="18"/>
      <c r="F426" s="17"/>
      <c r="G426" s="17">
        <f t="shared" si="13"/>
        <v>0</v>
      </c>
    </row>
    <row r="427" spans="1:7" ht="60" x14ac:dyDescent="0.25">
      <c r="A427" s="10" t="s">
        <v>78</v>
      </c>
      <c r="B427" s="11">
        <v>10802665</v>
      </c>
      <c r="C427" s="11">
        <f>C428</f>
        <v>2745320</v>
      </c>
      <c r="D427" s="11">
        <v>2554633.67</v>
      </c>
      <c r="E427" s="11">
        <v>2453845.67</v>
      </c>
      <c r="F427" s="12">
        <f t="shared" si="12"/>
        <v>0.9305413103026241</v>
      </c>
      <c r="G427" s="12">
        <f t="shared" si="13"/>
        <v>0.2364818005556962</v>
      </c>
    </row>
    <row r="428" spans="1:7" x14ac:dyDescent="0.25">
      <c r="A428" s="10" t="s">
        <v>79</v>
      </c>
      <c r="B428" s="11">
        <v>10802665</v>
      </c>
      <c r="C428" s="11">
        <f>SUM(C429:C437)</f>
        <v>2745320</v>
      </c>
      <c r="D428" s="11">
        <v>2554633.67</v>
      </c>
      <c r="E428" s="11">
        <v>2453845.67</v>
      </c>
      <c r="F428" s="12">
        <f t="shared" si="12"/>
        <v>0.9305413103026241</v>
      </c>
      <c r="G428" s="12">
        <f t="shared" si="13"/>
        <v>0.2364818005556962</v>
      </c>
    </row>
    <row r="429" spans="1:7" x14ac:dyDescent="0.25">
      <c r="A429" s="15" t="s">
        <v>14</v>
      </c>
      <c r="B429" s="16">
        <v>8199602</v>
      </c>
      <c r="C429" s="16">
        <v>1980000</v>
      </c>
      <c r="D429" s="16">
        <v>1948839.79</v>
      </c>
      <c r="E429" s="16">
        <v>1948839.79</v>
      </c>
      <c r="F429" s="17">
        <f t="shared" si="12"/>
        <v>0.98426252020202021</v>
      </c>
      <c r="G429" s="17">
        <f t="shared" si="13"/>
        <v>0.23767492495367459</v>
      </c>
    </row>
    <row r="430" spans="1:7" x14ac:dyDescent="0.25">
      <c r="A430" s="15" t="s">
        <v>15</v>
      </c>
      <c r="B430" s="16">
        <v>1803913</v>
      </c>
      <c r="C430" s="16">
        <v>435600</v>
      </c>
      <c r="D430" s="16">
        <v>405305.41</v>
      </c>
      <c r="E430" s="16">
        <v>405305.41</v>
      </c>
      <c r="F430" s="17">
        <f t="shared" si="12"/>
        <v>0.93045319100091817</v>
      </c>
      <c r="G430" s="17">
        <f t="shared" si="13"/>
        <v>0.2246812401706734</v>
      </c>
    </row>
    <row r="431" spans="1:7" x14ac:dyDescent="0.25">
      <c r="A431" s="15" t="s">
        <v>16</v>
      </c>
      <c r="B431" s="16">
        <v>196640</v>
      </c>
      <c r="C431" s="16">
        <v>141140</v>
      </c>
      <c r="D431" s="16">
        <v>99048</v>
      </c>
      <c r="E431" s="18"/>
      <c r="F431" s="17">
        <f t="shared" si="12"/>
        <v>0.70177129091682022</v>
      </c>
      <c r="G431" s="17">
        <f t="shared" si="13"/>
        <v>0.50370219690805529</v>
      </c>
    </row>
    <row r="432" spans="1:7" x14ac:dyDescent="0.25">
      <c r="A432" s="15" t="s">
        <v>17</v>
      </c>
      <c r="B432" s="16">
        <v>183896</v>
      </c>
      <c r="C432" s="16">
        <v>39700</v>
      </c>
      <c r="D432" s="16">
        <v>29294.66</v>
      </c>
      <c r="E432" s="16">
        <v>29294.66</v>
      </c>
      <c r="F432" s="17">
        <f t="shared" si="12"/>
        <v>0.73790075566750635</v>
      </c>
      <c r="G432" s="17">
        <f t="shared" si="13"/>
        <v>0.15930014790968808</v>
      </c>
    </row>
    <row r="433" spans="1:7" x14ac:dyDescent="0.25">
      <c r="A433" s="15" t="s">
        <v>26</v>
      </c>
      <c r="B433" s="16">
        <v>19500</v>
      </c>
      <c r="C433" s="16">
        <v>1950</v>
      </c>
      <c r="D433" s="16">
        <v>1740</v>
      </c>
      <c r="E433" s="18"/>
      <c r="F433" s="17">
        <f t="shared" si="12"/>
        <v>0.89230769230769236</v>
      </c>
      <c r="G433" s="17">
        <f t="shared" si="13"/>
        <v>8.9230769230769225E-2</v>
      </c>
    </row>
    <row r="434" spans="1:7" x14ac:dyDescent="0.25">
      <c r="A434" s="15" t="s">
        <v>18</v>
      </c>
      <c r="B434" s="16">
        <v>173164</v>
      </c>
      <c r="C434" s="16">
        <v>89441</v>
      </c>
      <c r="D434" s="16">
        <v>47994.65</v>
      </c>
      <c r="E434" s="16">
        <v>47994.65</v>
      </c>
      <c r="F434" s="17">
        <f t="shared" si="12"/>
        <v>0.53660681343008243</v>
      </c>
      <c r="G434" s="17">
        <f t="shared" si="13"/>
        <v>0.27716297844817628</v>
      </c>
    </row>
    <row r="435" spans="1:7" x14ac:dyDescent="0.25">
      <c r="A435" s="15" t="s">
        <v>19</v>
      </c>
      <c r="B435" s="16">
        <v>15203</v>
      </c>
      <c r="C435" s="16">
        <v>3801</v>
      </c>
      <c r="D435" s="16">
        <v>3126.8</v>
      </c>
      <c r="E435" s="16">
        <v>3126.8</v>
      </c>
      <c r="F435" s="17">
        <f t="shared" si="12"/>
        <v>0.82262562483556967</v>
      </c>
      <c r="G435" s="17">
        <f t="shared" si="13"/>
        <v>0.20566993356574362</v>
      </c>
    </row>
    <row r="436" spans="1:7" x14ac:dyDescent="0.25">
      <c r="A436" s="15" t="s">
        <v>20</v>
      </c>
      <c r="B436" s="16">
        <v>200000</v>
      </c>
      <c r="C436" s="16">
        <v>51000</v>
      </c>
      <c r="D436" s="16">
        <v>17493.259999999998</v>
      </c>
      <c r="E436" s="16">
        <v>17493.259999999998</v>
      </c>
      <c r="F436" s="17">
        <f t="shared" si="12"/>
        <v>0.34300509803921564</v>
      </c>
      <c r="G436" s="17">
        <f t="shared" si="13"/>
        <v>8.7466299999999997E-2</v>
      </c>
    </row>
    <row r="437" spans="1:7" ht="24" x14ac:dyDescent="0.25">
      <c r="A437" s="15" t="s">
        <v>32</v>
      </c>
      <c r="B437" s="16">
        <v>10747</v>
      </c>
      <c r="C437" s="16">
        <v>2688</v>
      </c>
      <c r="D437" s="16">
        <v>1791.1</v>
      </c>
      <c r="E437" s="16">
        <v>1791.1</v>
      </c>
      <c r="F437" s="17">
        <f t="shared" si="12"/>
        <v>0.66633184523809519</v>
      </c>
      <c r="G437" s="17">
        <f t="shared" si="13"/>
        <v>0.16666046338513071</v>
      </c>
    </row>
    <row r="438" spans="1:7" ht="36" x14ac:dyDescent="0.25">
      <c r="A438" s="10" t="s">
        <v>80</v>
      </c>
      <c r="B438" s="11">
        <v>23595835</v>
      </c>
      <c r="C438" s="11">
        <v>6211075</v>
      </c>
      <c r="D438" s="11">
        <v>5298753.92</v>
      </c>
      <c r="E438" s="11">
        <v>5256784.92</v>
      </c>
      <c r="F438" s="17">
        <f t="shared" si="12"/>
        <v>0.85311382007140468</v>
      </c>
      <c r="G438" s="17">
        <f t="shared" si="13"/>
        <v>0.22456310276792493</v>
      </c>
    </row>
    <row r="439" spans="1:7" ht="24" x14ac:dyDescent="0.25">
      <c r="A439" s="10" t="s">
        <v>81</v>
      </c>
      <c r="B439" s="11">
        <v>23595835</v>
      </c>
      <c r="C439" s="11">
        <v>6211075</v>
      </c>
      <c r="D439" s="11">
        <v>5298753.92</v>
      </c>
      <c r="E439" s="11">
        <v>5256784.92</v>
      </c>
      <c r="F439" s="17">
        <f t="shared" si="12"/>
        <v>0.85311382007140468</v>
      </c>
      <c r="G439" s="17">
        <f t="shared" si="13"/>
        <v>0.22456310276792493</v>
      </c>
    </row>
    <row r="440" spans="1:7" x14ac:dyDescent="0.25">
      <c r="A440" s="15" t="s">
        <v>14</v>
      </c>
      <c r="B440" s="16">
        <v>15581015</v>
      </c>
      <c r="C440" s="16">
        <v>3600000</v>
      </c>
      <c r="D440" s="16">
        <v>3540685.83</v>
      </c>
      <c r="E440" s="16">
        <v>3540685.83</v>
      </c>
      <c r="F440" s="17">
        <f t="shared" si="12"/>
        <v>0.98352384166666673</v>
      </c>
      <c r="G440" s="17">
        <f t="shared" si="13"/>
        <v>0.22724359292382429</v>
      </c>
    </row>
    <row r="441" spans="1:7" x14ac:dyDescent="0.25">
      <c r="A441" s="15" t="s">
        <v>15</v>
      </c>
      <c r="B441" s="16">
        <v>3427823</v>
      </c>
      <c r="C441" s="16">
        <v>792000</v>
      </c>
      <c r="D441" s="16">
        <v>790952.19</v>
      </c>
      <c r="E441" s="16">
        <v>790952.19</v>
      </c>
      <c r="F441" s="17">
        <f t="shared" si="12"/>
        <v>0.9986770075757575</v>
      </c>
      <c r="G441" s="17">
        <f t="shared" si="13"/>
        <v>0.23074475840788744</v>
      </c>
    </row>
    <row r="442" spans="1:7" x14ac:dyDescent="0.25">
      <c r="A442" s="15" t="s">
        <v>16</v>
      </c>
      <c r="B442" s="16">
        <v>500000</v>
      </c>
      <c r="C442" s="16">
        <v>155000</v>
      </c>
      <c r="D442" s="16">
        <v>143782.93</v>
      </c>
      <c r="E442" s="16">
        <v>101813.93</v>
      </c>
      <c r="F442" s="17">
        <f t="shared" si="12"/>
        <v>0.92763180645161281</v>
      </c>
      <c r="G442" s="17">
        <f t="shared" si="13"/>
        <v>0.28756586000000001</v>
      </c>
    </row>
    <row r="443" spans="1:7" x14ac:dyDescent="0.25">
      <c r="A443" s="15" t="s">
        <v>17</v>
      </c>
      <c r="B443" s="16">
        <v>892213</v>
      </c>
      <c r="C443" s="16">
        <v>270000</v>
      </c>
      <c r="D443" s="16">
        <v>156633.88</v>
      </c>
      <c r="E443" s="16">
        <v>156633.88</v>
      </c>
      <c r="F443" s="17">
        <f t="shared" si="12"/>
        <v>0.58012548148148146</v>
      </c>
      <c r="G443" s="17">
        <f t="shared" si="13"/>
        <v>0.17555659915289287</v>
      </c>
    </row>
    <row r="444" spans="1:7" x14ac:dyDescent="0.25">
      <c r="A444" s="15" t="s">
        <v>18</v>
      </c>
      <c r="B444" s="16">
        <v>1945790</v>
      </c>
      <c r="C444" s="16">
        <v>985746</v>
      </c>
      <c r="D444" s="16">
        <v>458536.32</v>
      </c>
      <c r="E444" s="16">
        <v>458536.32</v>
      </c>
      <c r="F444" s="17">
        <f t="shared" si="12"/>
        <v>0.46516680767662261</v>
      </c>
      <c r="G444" s="17">
        <f t="shared" si="13"/>
        <v>0.23565560517835943</v>
      </c>
    </row>
    <row r="445" spans="1:7" x14ac:dyDescent="0.25">
      <c r="A445" s="15" t="s">
        <v>19</v>
      </c>
      <c r="B445" s="16">
        <v>279037</v>
      </c>
      <c r="C445" s="16">
        <v>87879</v>
      </c>
      <c r="D445" s="16">
        <v>43098.02</v>
      </c>
      <c r="E445" s="16">
        <v>43098.02</v>
      </c>
      <c r="F445" s="17">
        <f t="shared" si="12"/>
        <v>0.49042456104416299</v>
      </c>
      <c r="G445" s="17">
        <f t="shared" si="13"/>
        <v>0.15445270698867891</v>
      </c>
    </row>
    <row r="446" spans="1:7" x14ac:dyDescent="0.25">
      <c r="A446" s="15" t="s">
        <v>20</v>
      </c>
      <c r="B446" s="16">
        <v>929857</v>
      </c>
      <c r="C446" s="16">
        <v>302851</v>
      </c>
      <c r="D446" s="16">
        <v>161558.41</v>
      </c>
      <c r="E446" s="16">
        <v>161558.41</v>
      </c>
      <c r="F446" s="17">
        <f t="shared" si="12"/>
        <v>0.53345840033547853</v>
      </c>
      <c r="G446" s="17">
        <f t="shared" si="13"/>
        <v>0.17374543612620005</v>
      </c>
    </row>
    <row r="447" spans="1:7" ht="24" x14ac:dyDescent="0.25">
      <c r="A447" s="15" t="s">
        <v>32</v>
      </c>
      <c r="B447" s="16">
        <v>30000</v>
      </c>
      <c r="C447" s="16">
        <v>7499</v>
      </c>
      <c r="D447" s="16">
        <v>3506.34</v>
      </c>
      <c r="E447" s="16">
        <v>3506.34</v>
      </c>
      <c r="F447" s="17">
        <f t="shared" si="12"/>
        <v>0.46757434324576613</v>
      </c>
      <c r="G447" s="17">
        <f t="shared" si="13"/>
        <v>0.11687800000000001</v>
      </c>
    </row>
    <row r="448" spans="1:7" ht="24" x14ac:dyDescent="0.25">
      <c r="A448" s="15" t="s">
        <v>21</v>
      </c>
      <c r="B448" s="16">
        <v>10100</v>
      </c>
      <c r="C448" s="16">
        <v>10100</v>
      </c>
      <c r="D448" s="18"/>
      <c r="E448" s="18"/>
      <c r="F448" s="17">
        <f t="shared" si="12"/>
        <v>0</v>
      </c>
      <c r="G448" s="17">
        <f t="shared" si="13"/>
        <v>0</v>
      </c>
    </row>
    <row r="449" spans="1:7" ht="36" x14ac:dyDescent="0.25">
      <c r="A449" s="10" t="s">
        <v>82</v>
      </c>
      <c r="B449" s="11">
        <v>66800</v>
      </c>
      <c r="C449" s="11">
        <v>12230</v>
      </c>
      <c r="D449" s="21"/>
      <c r="E449" s="21"/>
      <c r="F449" s="17">
        <f t="shared" si="12"/>
        <v>0</v>
      </c>
      <c r="G449" s="17">
        <f t="shared" si="13"/>
        <v>0</v>
      </c>
    </row>
    <row r="450" spans="1:7" ht="24" x14ac:dyDescent="0.25">
      <c r="A450" s="10" t="s">
        <v>28</v>
      </c>
      <c r="B450" s="11">
        <v>66800</v>
      </c>
      <c r="C450" s="11">
        <v>12230</v>
      </c>
      <c r="D450" s="21"/>
      <c r="E450" s="21"/>
      <c r="F450" s="17">
        <f t="shared" si="12"/>
        <v>0</v>
      </c>
      <c r="G450" s="17">
        <f t="shared" si="13"/>
        <v>0</v>
      </c>
    </row>
    <row r="451" spans="1:7" x14ac:dyDescent="0.25">
      <c r="A451" s="15" t="s">
        <v>16</v>
      </c>
      <c r="B451" s="16">
        <v>66800</v>
      </c>
      <c r="C451" s="16">
        <v>12230</v>
      </c>
      <c r="D451" s="18"/>
      <c r="E451" s="18"/>
      <c r="F451" s="17">
        <f t="shared" si="12"/>
        <v>0</v>
      </c>
      <c r="G451" s="17">
        <f t="shared" si="13"/>
        <v>0</v>
      </c>
    </row>
    <row r="452" spans="1:7" ht="36" x14ac:dyDescent="0.25">
      <c r="A452" s="10" t="s">
        <v>83</v>
      </c>
      <c r="B452" s="11">
        <v>9177651</v>
      </c>
      <c r="C452" s="11">
        <v>2362219</v>
      </c>
      <c r="D452" s="11">
        <v>1742742.51</v>
      </c>
      <c r="E452" s="11">
        <v>1742742.51</v>
      </c>
      <c r="F452" s="17">
        <f t="shared" si="12"/>
        <v>0.73775653739132574</v>
      </c>
      <c r="G452" s="17">
        <f t="shared" si="13"/>
        <v>0.18988982148046379</v>
      </c>
    </row>
    <row r="453" spans="1:7" ht="24" x14ac:dyDescent="0.25">
      <c r="A453" s="10" t="s">
        <v>84</v>
      </c>
      <c r="B453" s="11">
        <v>9177651</v>
      </c>
      <c r="C453" s="11">
        <v>2362219</v>
      </c>
      <c r="D453" s="11">
        <v>1742742.51</v>
      </c>
      <c r="E453" s="11">
        <v>1742742.51</v>
      </c>
      <c r="F453" s="17">
        <f t="shared" si="12"/>
        <v>0.73775653739132574</v>
      </c>
      <c r="G453" s="17">
        <f t="shared" si="13"/>
        <v>0.18988982148046379</v>
      </c>
    </row>
    <row r="454" spans="1:7" x14ac:dyDescent="0.25">
      <c r="A454" s="15" t="s">
        <v>14</v>
      </c>
      <c r="B454" s="16">
        <v>6331968</v>
      </c>
      <c r="C454" s="16">
        <v>1582992</v>
      </c>
      <c r="D454" s="16">
        <v>1213881.68</v>
      </c>
      <c r="E454" s="16">
        <v>1213881.68</v>
      </c>
      <c r="F454" s="17">
        <f t="shared" ref="F454:F494" si="14">D454/C454</f>
        <v>0.7668274255334202</v>
      </c>
      <c r="G454" s="17">
        <f t="shared" ref="G454:G494" si="15">D454/B454</f>
        <v>0.19170685638335505</v>
      </c>
    </row>
    <row r="455" spans="1:7" x14ac:dyDescent="0.25">
      <c r="A455" s="15" t="s">
        <v>15</v>
      </c>
      <c r="B455" s="16">
        <v>1393033</v>
      </c>
      <c r="C455" s="16">
        <v>348258</v>
      </c>
      <c r="D455" s="16">
        <v>260413.17</v>
      </c>
      <c r="E455" s="16">
        <v>260413.17</v>
      </c>
      <c r="F455" s="17">
        <f t="shared" si="14"/>
        <v>0.74775933359750535</v>
      </c>
      <c r="G455" s="17">
        <f t="shared" si="15"/>
        <v>0.18693969920310574</v>
      </c>
    </row>
    <row r="456" spans="1:7" x14ac:dyDescent="0.25">
      <c r="A456" s="15" t="s">
        <v>16</v>
      </c>
      <c r="B456" s="16">
        <v>100006</v>
      </c>
      <c r="C456" s="16">
        <v>37000</v>
      </c>
      <c r="D456" s="16">
        <v>27200</v>
      </c>
      <c r="E456" s="16">
        <v>27200</v>
      </c>
      <c r="F456" s="17">
        <f t="shared" si="14"/>
        <v>0.73513513513513518</v>
      </c>
      <c r="G456" s="17">
        <f t="shared" si="15"/>
        <v>0.27198368097914127</v>
      </c>
    </row>
    <row r="457" spans="1:7" x14ac:dyDescent="0.25">
      <c r="A457" s="15" t="s">
        <v>17</v>
      </c>
      <c r="B457" s="16">
        <v>900000</v>
      </c>
      <c r="C457" s="16">
        <v>225000</v>
      </c>
      <c r="D457" s="16">
        <v>191003.46</v>
      </c>
      <c r="E457" s="16">
        <v>191003.46</v>
      </c>
      <c r="F457" s="17">
        <f t="shared" si="14"/>
        <v>0.84890426666666663</v>
      </c>
      <c r="G457" s="17">
        <f t="shared" si="15"/>
        <v>0.21222606666666666</v>
      </c>
    </row>
    <row r="458" spans="1:7" x14ac:dyDescent="0.25">
      <c r="A458" s="15" t="s">
        <v>18</v>
      </c>
      <c r="B458" s="16">
        <v>201208</v>
      </c>
      <c r="C458" s="16">
        <v>106110</v>
      </c>
      <c r="D458" s="16">
        <v>40018.82</v>
      </c>
      <c r="E458" s="16">
        <v>40018.82</v>
      </c>
      <c r="F458" s="17">
        <f t="shared" si="14"/>
        <v>0.37714466120064083</v>
      </c>
      <c r="G458" s="17">
        <f t="shared" si="15"/>
        <v>0.19889278756311876</v>
      </c>
    </row>
    <row r="459" spans="1:7" x14ac:dyDescent="0.25">
      <c r="A459" s="15" t="s">
        <v>19</v>
      </c>
      <c r="B459" s="16">
        <v>23436</v>
      </c>
      <c r="C459" s="16">
        <v>5859</v>
      </c>
      <c r="D459" s="16">
        <v>3100.56</v>
      </c>
      <c r="E459" s="16">
        <v>3100.56</v>
      </c>
      <c r="F459" s="17">
        <f t="shared" si="14"/>
        <v>0.52919610855094723</v>
      </c>
      <c r="G459" s="17">
        <f t="shared" si="15"/>
        <v>0.13229902713773681</v>
      </c>
    </row>
    <row r="460" spans="1:7" x14ac:dyDescent="0.25">
      <c r="A460" s="15" t="s">
        <v>20</v>
      </c>
      <c r="B460" s="16">
        <v>228000</v>
      </c>
      <c r="C460" s="16">
        <v>57000</v>
      </c>
      <c r="D460" s="16">
        <v>7124.82</v>
      </c>
      <c r="E460" s="16">
        <v>7124.82</v>
      </c>
      <c r="F460" s="17">
        <f t="shared" si="14"/>
        <v>0.12499684210526316</v>
      </c>
      <c r="G460" s="17">
        <f t="shared" si="15"/>
        <v>3.1249210526315789E-2</v>
      </c>
    </row>
    <row r="461" spans="1:7" ht="24" x14ac:dyDescent="0.25">
      <c r="A461" s="10" t="s">
        <v>85</v>
      </c>
      <c r="B461" s="11">
        <v>91000</v>
      </c>
      <c r="C461" s="11">
        <v>13000</v>
      </c>
      <c r="D461" s="11">
        <v>13000</v>
      </c>
      <c r="E461" s="11">
        <v>13000</v>
      </c>
      <c r="F461" s="17">
        <f t="shared" si="14"/>
        <v>1</v>
      </c>
      <c r="G461" s="17">
        <f t="shared" si="15"/>
        <v>0.14285714285714285</v>
      </c>
    </row>
    <row r="462" spans="1:7" ht="24" x14ac:dyDescent="0.25">
      <c r="A462" s="10" t="s">
        <v>25</v>
      </c>
      <c r="B462" s="11">
        <v>91000</v>
      </c>
      <c r="C462" s="11">
        <v>13000</v>
      </c>
      <c r="D462" s="11">
        <v>13000</v>
      </c>
      <c r="E462" s="11">
        <v>13000</v>
      </c>
      <c r="F462" s="17">
        <f t="shared" si="14"/>
        <v>1</v>
      </c>
      <c r="G462" s="17">
        <f t="shared" si="15"/>
        <v>0.14285714285714285</v>
      </c>
    </row>
    <row r="463" spans="1:7" x14ac:dyDescent="0.25">
      <c r="A463" s="15" t="s">
        <v>16</v>
      </c>
      <c r="B463" s="16">
        <v>91000</v>
      </c>
      <c r="C463" s="16">
        <v>13000</v>
      </c>
      <c r="D463" s="16">
        <v>13000</v>
      </c>
      <c r="E463" s="16">
        <v>13000</v>
      </c>
      <c r="F463" s="17">
        <f t="shared" si="14"/>
        <v>1</v>
      </c>
      <c r="G463" s="17">
        <f t="shared" si="15"/>
        <v>0.14285714285714285</v>
      </c>
    </row>
    <row r="464" spans="1:7" x14ac:dyDescent="0.25">
      <c r="A464" s="7" t="s">
        <v>86</v>
      </c>
      <c r="B464" s="8">
        <v>53380350</v>
      </c>
      <c r="C464" s="8">
        <f>C465+C475+C485+C495</f>
        <v>13649904</v>
      </c>
      <c r="D464" s="8">
        <v>11373241.699999999</v>
      </c>
      <c r="E464" s="8">
        <v>11225431.699999999</v>
      </c>
      <c r="F464" s="9">
        <f t="shared" si="14"/>
        <v>0.8332103800876548</v>
      </c>
      <c r="G464" s="9">
        <f t="shared" si="15"/>
        <v>0.21306045576696292</v>
      </c>
    </row>
    <row r="465" spans="1:7" x14ac:dyDescent="0.25">
      <c r="A465" s="10" t="s">
        <v>87</v>
      </c>
      <c r="B465" s="11">
        <v>38568232</v>
      </c>
      <c r="C465" s="11">
        <f>C466</f>
        <v>9742604</v>
      </c>
      <c r="D465" s="11">
        <v>8400953.6600000001</v>
      </c>
      <c r="E465" s="11">
        <v>8332943.6600000001</v>
      </c>
      <c r="F465" s="17">
        <f t="shared" si="14"/>
        <v>0.86229037534523623</v>
      </c>
      <c r="G465" s="17">
        <f t="shared" si="15"/>
        <v>0.21782055397302111</v>
      </c>
    </row>
    <row r="466" spans="1:7" ht="24" x14ac:dyDescent="0.25">
      <c r="A466" s="10" t="s">
        <v>31</v>
      </c>
      <c r="B466" s="11">
        <v>38568232</v>
      </c>
      <c r="C466" s="11">
        <f>SUM(C467:C474)</f>
        <v>9742604</v>
      </c>
      <c r="D466" s="11">
        <v>8400953.6600000001</v>
      </c>
      <c r="E466" s="11">
        <v>8332943.6600000001</v>
      </c>
      <c r="F466" s="17">
        <f t="shared" si="14"/>
        <v>0.86229037534523623</v>
      </c>
      <c r="G466" s="17">
        <f t="shared" si="15"/>
        <v>0.21782055397302111</v>
      </c>
    </row>
    <row r="467" spans="1:7" x14ac:dyDescent="0.25">
      <c r="A467" s="15" t="s">
        <v>14</v>
      </c>
      <c r="B467" s="16">
        <v>27682579</v>
      </c>
      <c r="C467" s="16">
        <v>6360000</v>
      </c>
      <c r="D467" s="16">
        <v>6237491.8600000003</v>
      </c>
      <c r="E467" s="16">
        <v>6237491.8600000003</v>
      </c>
      <c r="F467" s="17">
        <f t="shared" si="14"/>
        <v>0.98073771383647801</v>
      </c>
      <c r="G467" s="17">
        <f t="shared" si="15"/>
        <v>0.22532192033119458</v>
      </c>
    </row>
    <row r="468" spans="1:7" x14ac:dyDescent="0.25">
      <c r="A468" s="15" t="s">
        <v>15</v>
      </c>
      <c r="B468" s="16">
        <v>6090168</v>
      </c>
      <c r="C468" s="16">
        <v>1399200</v>
      </c>
      <c r="D468" s="16">
        <v>1323993.52</v>
      </c>
      <c r="E468" s="16">
        <v>1323993.52</v>
      </c>
      <c r="F468" s="17">
        <f t="shared" si="14"/>
        <v>0.94625037164093773</v>
      </c>
      <c r="G468" s="17">
        <f t="shared" si="15"/>
        <v>0.21739852168281729</v>
      </c>
    </row>
    <row r="469" spans="1:7" x14ac:dyDescent="0.25">
      <c r="A469" s="15" t="s">
        <v>16</v>
      </c>
      <c r="B469" s="16">
        <v>200000</v>
      </c>
      <c r="C469" s="16">
        <v>100000</v>
      </c>
      <c r="D469" s="16">
        <v>69202</v>
      </c>
      <c r="E469" s="16">
        <v>1192</v>
      </c>
      <c r="F469" s="17">
        <f t="shared" si="14"/>
        <v>0.69201999999999997</v>
      </c>
      <c r="G469" s="17">
        <f t="shared" si="15"/>
        <v>0.34600999999999998</v>
      </c>
    </row>
    <row r="470" spans="1:7" x14ac:dyDescent="0.25">
      <c r="A470" s="15" t="s">
        <v>17</v>
      </c>
      <c r="B470" s="16">
        <v>1200000</v>
      </c>
      <c r="C470" s="16">
        <v>400000</v>
      </c>
      <c r="D470" s="16">
        <v>171539.85</v>
      </c>
      <c r="E470" s="16">
        <v>171539.85</v>
      </c>
      <c r="F470" s="17">
        <f t="shared" si="14"/>
        <v>0.42884962500000001</v>
      </c>
      <c r="G470" s="17">
        <f t="shared" si="15"/>
        <v>0.142949875</v>
      </c>
    </row>
    <row r="471" spans="1:7" x14ac:dyDescent="0.25">
      <c r="A471" s="15" t="s">
        <v>18</v>
      </c>
      <c r="B471" s="16">
        <v>2509252</v>
      </c>
      <c r="C471" s="16">
        <v>1235853</v>
      </c>
      <c r="D471" s="16">
        <v>498327.52</v>
      </c>
      <c r="E471" s="16">
        <v>498327.52</v>
      </c>
      <c r="F471" s="17">
        <f t="shared" si="14"/>
        <v>0.40322556161614692</v>
      </c>
      <c r="G471" s="17">
        <f t="shared" si="15"/>
        <v>0.19859604376124837</v>
      </c>
    </row>
    <row r="472" spans="1:7" x14ac:dyDescent="0.25">
      <c r="A472" s="15" t="s">
        <v>19</v>
      </c>
      <c r="B472" s="16">
        <v>71072</v>
      </c>
      <c r="C472" s="16">
        <v>19156</v>
      </c>
      <c r="D472" s="16">
        <v>6592.51</v>
      </c>
      <c r="E472" s="16">
        <v>6592.51</v>
      </c>
      <c r="F472" s="17">
        <f t="shared" si="14"/>
        <v>0.34414856963875551</v>
      </c>
      <c r="G472" s="17">
        <f t="shared" si="15"/>
        <v>9.2758188878883388E-2</v>
      </c>
    </row>
    <row r="473" spans="1:7" x14ac:dyDescent="0.25">
      <c r="A473" s="15" t="s">
        <v>20</v>
      </c>
      <c r="B473" s="16">
        <v>770161</v>
      </c>
      <c r="C473" s="16">
        <v>217151</v>
      </c>
      <c r="D473" s="16">
        <v>84765.72</v>
      </c>
      <c r="E473" s="16">
        <v>84765.72</v>
      </c>
      <c r="F473" s="17">
        <f t="shared" si="14"/>
        <v>0.39035380910057976</v>
      </c>
      <c r="G473" s="17">
        <f t="shared" si="15"/>
        <v>0.11006233761512203</v>
      </c>
    </row>
    <row r="474" spans="1:7" ht="24" x14ac:dyDescent="0.25">
      <c r="A474" s="15" t="s">
        <v>32</v>
      </c>
      <c r="B474" s="16">
        <v>45000</v>
      </c>
      <c r="C474" s="16">
        <v>11244</v>
      </c>
      <c r="D474" s="16">
        <v>9040.68</v>
      </c>
      <c r="E474" s="16">
        <v>9040.68</v>
      </c>
      <c r="F474" s="17">
        <f t="shared" si="14"/>
        <v>0.80404482390608323</v>
      </c>
      <c r="G474" s="17">
        <f t="shared" si="15"/>
        <v>0.200904</v>
      </c>
    </row>
    <row r="475" spans="1:7" ht="36" x14ac:dyDescent="0.25">
      <c r="A475" s="10" t="s">
        <v>88</v>
      </c>
      <c r="B475" s="11">
        <v>10624456</v>
      </c>
      <c r="C475" s="11">
        <f>C476</f>
        <v>2893223</v>
      </c>
      <c r="D475" s="11">
        <v>2017844.37</v>
      </c>
      <c r="E475" s="11">
        <v>1953044.37</v>
      </c>
      <c r="F475" s="17">
        <f t="shared" si="14"/>
        <v>0.69743824447683433</v>
      </c>
      <c r="G475" s="17">
        <f t="shared" si="15"/>
        <v>0.18992448836909862</v>
      </c>
    </row>
    <row r="476" spans="1:7" ht="24" x14ac:dyDescent="0.25">
      <c r="A476" s="10" t="s">
        <v>31</v>
      </c>
      <c r="B476" s="11">
        <v>10624456</v>
      </c>
      <c r="C476" s="11">
        <f>SUM(C477:C484)</f>
        <v>2893223</v>
      </c>
      <c r="D476" s="11">
        <v>2017844.37</v>
      </c>
      <c r="E476" s="11">
        <v>1953044.37</v>
      </c>
      <c r="F476" s="17">
        <f t="shared" si="14"/>
        <v>0.69743824447683433</v>
      </c>
      <c r="G476" s="17">
        <f t="shared" si="15"/>
        <v>0.18992448836909862</v>
      </c>
    </row>
    <row r="477" spans="1:7" x14ac:dyDescent="0.25">
      <c r="A477" s="15" t="s">
        <v>14</v>
      </c>
      <c r="B477" s="16">
        <v>5904712</v>
      </c>
      <c r="C477" s="16">
        <v>1395000</v>
      </c>
      <c r="D477" s="16">
        <v>1348243.95</v>
      </c>
      <c r="E477" s="16">
        <v>1348243.95</v>
      </c>
      <c r="F477" s="17">
        <f t="shared" si="14"/>
        <v>0.9664831182795699</v>
      </c>
      <c r="G477" s="17">
        <f t="shared" si="15"/>
        <v>0.22833356648046507</v>
      </c>
    </row>
    <row r="478" spans="1:7" x14ac:dyDescent="0.25">
      <c r="A478" s="15" t="s">
        <v>15</v>
      </c>
      <c r="B478" s="16">
        <v>1299037</v>
      </c>
      <c r="C478" s="16">
        <v>306900</v>
      </c>
      <c r="D478" s="16">
        <v>275350.78999999998</v>
      </c>
      <c r="E478" s="16">
        <v>275350.78999999998</v>
      </c>
      <c r="F478" s="17">
        <f t="shared" si="14"/>
        <v>0.89720035842293899</v>
      </c>
      <c r="G478" s="17">
        <f t="shared" si="15"/>
        <v>0.2119653173851091</v>
      </c>
    </row>
    <row r="479" spans="1:7" x14ac:dyDescent="0.25">
      <c r="A479" s="15" t="s">
        <v>16</v>
      </c>
      <c r="B479" s="16">
        <v>400000</v>
      </c>
      <c r="C479" s="16">
        <v>68000</v>
      </c>
      <c r="D479" s="16">
        <v>64800</v>
      </c>
      <c r="E479" s="18"/>
      <c r="F479" s="17">
        <f t="shared" si="14"/>
        <v>0.95294117647058818</v>
      </c>
      <c r="G479" s="17">
        <f t="shared" si="15"/>
        <v>0.16200000000000001</v>
      </c>
    </row>
    <row r="480" spans="1:7" x14ac:dyDescent="0.25">
      <c r="A480" s="15" t="s">
        <v>17</v>
      </c>
      <c r="B480" s="16">
        <v>1224664</v>
      </c>
      <c r="C480" s="16">
        <v>320000</v>
      </c>
      <c r="D480" s="16">
        <v>47852.22</v>
      </c>
      <c r="E480" s="16">
        <v>47852.22</v>
      </c>
      <c r="F480" s="17">
        <f t="shared" si="14"/>
        <v>0.1495381875</v>
      </c>
      <c r="G480" s="17">
        <f t="shared" si="15"/>
        <v>3.907375410724901E-2</v>
      </c>
    </row>
    <row r="481" spans="1:7" x14ac:dyDescent="0.25">
      <c r="A481" s="15" t="s">
        <v>18</v>
      </c>
      <c r="B481" s="16">
        <v>1236932</v>
      </c>
      <c r="C481" s="16">
        <v>607994</v>
      </c>
      <c r="D481" s="16">
        <v>186881.56</v>
      </c>
      <c r="E481" s="16">
        <v>186881.56</v>
      </c>
      <c r="F481" s="17">
        <f t="shared" si="14"/>
        <v>0.30737402013835663</v>
      </c>
      <c r="G481" s="17">
        <f t="shared" si="15"/>
        <v>0.15108474839360611</v>
      </c>
    </row>
    <row r="482" spans="1:7" x14ac:dyDescent="0.25">
      <c r="A482" s="15" t="s">
        <v>19</v>
      </c>
      <c r="B482" s="16">
        <v>68121</v>
      </c>
      <c r="C482" s="16">
        <v>17662</v>
      </c>
      <c r="D482" s="16">
        <v>7387.68</v>
      </c>
      <c r="E482" s="16">
        <v>7387.68</v>
      </c>
      <c r="F482" s="17">
        <f t="shared" si="14"/>
        <v>0.41828105537311744</v>
      </c>
      <c r="G482" s="17">
        <f t="shared" si="15"/>
        <v>0.10844937684414498</v>
      </c>
    </row>
    <row r="483" spans="1:7" x14ac:dyDescent="0.25">
      <c r="A483" s="15" t="s">
        <v>20</v>
      </c>
      <c r="B483" s="16">
        <v>471490</v>
      </c>
      <c r="C483" s="16">
        <v>172792</v>
      </c>
      <c r="D483" s="16">
        <v>85539.94</v>
      </c>
      <c r="E483" s="16">
        <v>85539.94</v>
      </c>
      <c r="F483" s="17">
        <f t="shared" si="14"/>
        <v>0.49504571970924582</v>
      </c>
      <c r="G483" s="17">
        <f t="shared" si="15"/>
        <v>0.18142471738531041</v>
      </c>
    </row>
    <row r="484" spans="1:7" ht="24" x14ac:dyDescent="0.25">
      <c r="A484" s="15" t="s">
        <v>32</v>
      </c>
      <c r="B484" s="16">
        <v>19500</v>
      </c>
      <c r="C484" s="16">
        <v>4875</v>
      </c>
      <c r="D484" s="16">
        <v>1788.23</v>
      </c>
      <c r="E484" s="16">
        <v>1788.23</v>
      </c>
      <c r="F484" s="17">
        <f t="shared" si="14"/>
        <v>0.36681641025641026</v>
      </c>
      <c r="G484" s="17">
        <f t="shared" si="15"/>
        <v>9.1704102564102566E-2</v>
      </c>
    </row>
    <row r="485" spans="1:7" ht="24" x14ac:dyDescent="0.25">
      <c r="A485" s="10" t="s">
        <v>89</v>
      </c>
      <c r="B485" s="11">
        <v>4117662</v>
      </c>
      <c r="C485" s="11">
        <f>C486</f>
        <v>1014077</v>
      </c>
      <c r="D485" s="11">
        <v>954443.67</v>
      </c>
      <c r="E485" s="11">
        <v>939443.67</v>
      </c>
      <c r="F485" s="17">
        <f t="shared" si="14"/>
        <v>0.9411944753702135</v>
      </c>
      <c r="G485" s="17">
        <f t="shared" si="15"/>
        <v>0.2317926216382015</v>
      </c>
    </row>
    <row r="486" spans="1:7" ht="24" x14ac:dyDescent="0.25">
      <c r="A486" s="10" t="s">
        <v>31</v>
      </c>
      <c r="B486" s="11">
        <v>4117662</v>
      </c>
      <c r="C486" s="11">
        <f>SUM(C487:C494)</f>
        <v>1014077</v>
      </c>
      <c r="D486" s="11">
        <v>954443.67</v>
      </c>
      <c r="E486" s="11">
        <v>939443.67</v>
      </c>
      <c r="F486" s="17">
        <f t="shared" si="14"/>
        <v>0.9411944753702135</v>
      </c>
      <c r="G486" s="17">
        <f t="shared" si="15"/>
        <v>0.2317926216382015</v>
      </c>
    </row>
    <row r="487" spans="1:7" x14ac:dyDescent="0.25">
      <c r="A487" s="15" t="s">
        <v>14</v>
      </c>
      <c r="B487" s="16">
        <v>3086755</v>
      </c>
      <c r="C487" s="16">
        <v>726000</v>
      </c>
      <c r="D487" s="16">
        <v>722856.5</v>
      </c>
      <c r="E487" s="16">
        <v>722856.5</v>
      </c>
      <c r="F487" s="17">
        <f t="shared" si="14"/>
        <v>0.99567011019283747</v>
      </c>
      <c r="G487" s="17">
        <f t="shared" si="15"/>
        <v>0.23418006936086602</v>
      </c>
    </row>
    <row r="488" spans="1:7" x14ac:dyDescent="0.25">
      <c r="A488" s="15" t="s">
        <v>15</v>
      </c>
      <c r="B488" s="16">
        <v>679086</v>
      </c>
      <c r="C488" s="16">
        <v>159720</v>
      </c>
      <c r="D488" s="16">
        <v>155468.54</v>
      </c>
      <c r="E488" s="16">
        <v>155468.54</v>
      </c>
      <c r="F488" s="17">
        <f t="shared" si="14"/>
        <v>0.97338179313799156</v>
      </c>
      <c r="G488" s="17">
        <f t="shared" si="15"/>
        <v>0.22893792538794794</v>
      </c>
    </row>
    <row r="489" spans="1:7" x14ac:dyDescent="0.25">
      <c r="A489" s="15" t="s">
        <v>16</v>
      </c>
      <c r="B489" s="16">
        <v>50000</v>
      </c>
      <c r="C489" s="16">
        <v>20000</v>
      </c>
      <c r="D489" s="16">
        <v>15000</v>
      </c>
      <c r="E489" s="18"/>
      <c r="F489" s="17">
        <f t="shared" si="14"/>
        <v>0.75</v>
      </c>
      <c r="G489" s="17">
        <f t="shared" si="15"/>
        <v>0.3</v>
      </c>
    </row>
    <row r="490" spans="1:7" x14ac:dyDescent="0.25">
      <c r="A490" s="15" t="s">
        <v>17</v>
      </c>
      <c r="B490" s="16">
        <v>230000</v>
      </c>
      <c r="C490" s="16">
        <v>80000</v>
      </c>
      <c r="D490" s="16">
        <v>50649.59</v>
      </c>
      <c r="E490" s="16">
        <v>50649.59</v>
      </c>
      <c r="F490" s="17">
        <f t="shared" si="14"/>
        <v>0.633119875</v>
      </c>
      <c r="G490" s="17">
        <f t="shared" si="15"/>
        <v>0.22021560869565215</v>
      </c>
    </row>
    <row r="491" spans="1:7" x14ac:dyDescent="0.25">
      <c r="A491" s="15" t="s">
        <v>18</v>
      </c>
      <c r="B491" s="16">
        <v>31207</v>
      </c>
      <c r="C491" s="16">
        <v>16090</v>
      </c>
      <c r="D491" s="16">
        <v>6284.18</v>
      </c>
      <c r="E491" s="16">
        <v>6284.18</v>
      </c>
      <c r="F491" s="17">
        <f t="shared" si="14"/>
        <v>0.39056432566811689</v>
      </c>
      <c r="G491" s="17">
        <f t="shared" si="15"/>
        <v>0.20137084628448745</v>
      </c>
    </row>
    <row r="492" spans="1:7" x14ac:dyDescent="0.25">
      <c r="A492" s="15" t="s">
        <v>19</v>
      </c>
      <c r="B492" s="16">
        <v>3664</v>
      </c>
      <c r="C492" s="16">
        <v>963</v>
      </c>
      <c r="D492" s="19">
        <v>562.79999999999995</v>
      </c>
      <c r="E492" s="19">
        <v>562.79999999999995</v>
      </c>
      <c r="F492" s="17">
        <f t="shared" si="14"/>
        <v>0.58442367601246104</v>
      </c>
      <c r="G492" s="17">
        <f t="shared" si="15"/>
        <v>0.15360262008733624</v>
      </c>
    </row>
    <row r="493" spans="1:7" x14ac:dyDescent="0.25">
      <c r="A493" s="15" t="s">
        <v>20</v>
      </c>
      <c r="B493" s="16">
        <v>33750</v>
      </c>
      <c r="C493" s="16">
        <v>10500</v>
      </c>
      <c r="D493" s="16">
        <v>3160.08</v>
      </c>
      <c r="E493" s="16">
        <v>3160.08</v>
      </c>
      <c r="F493" s="17">
        <f t="shared" si="14"/>
        <v>0.30096000000000001</v>
      </c>
      <c r="G493" s="17">
        <f t="shared" si="15"/>
        <v>9.3631999999999993E-2</v>
      </c>
    </row>
    <row r="494" spans="1:7" ht="24" x14ac:dyDescent="0.25">
      <c r="A494" s="15" t="s">
        <v>32</v>
      </c>
      <c r="B494" s="16">
        <v>3200</v>
      </c>
      <c r="C494" s="16">
        <v>804</v>
      </c>
      <c r="D494" s="19">
        <v>461.98</v>
      </c>
      <c r="E494" s="19">
        <v>461.98</v>
      </c>
      <c r="F494" s="17">
        <f t="shared" si="14"/>
        <v>0.57460199004975132</v>
      </c>
      <c r="G494" s="17">
        <f t="shared" si="15"/>
        <v>0.14436875000000002</v>
      </c>
    </row>
    <row r="495" spans="1:7" x14ac:dyDescent="0.25">
      <c r="A495" s="10" t="s">
        <v>90</v>
      </c>
      <c r="B495" s="11">
        <v>70000</v>
      </c>
      <c r="C495" s="11"/>
      <c r="D495" s="21"/>
      <c r="E495" s="21"/>
      <c r="F495" s="21"/>
      <c r="G495" s="21"/>
    </row>
    <row r="496" spans="1:7" ht="24" x14ac:dyDescent="0.25">
      <c r="A496" s="10" t="s">
        <v>31</v>
      </c>
      <c r="B496" s="11">
        <v>70000</v>
      </c>
      <c r="C496" s="11"/>
      <c r="D496" s="21"/>
      <c r="E496" s="21"/>
      <c r="F496" s="21"/>
      <c r="G496" s="21"/>
    </row>
    <row r="497" spans="1:7" x14ac:dyDescent="0.25">
      <c r="A497" s="15" t="s">
        <v>17</v>
      </c>
      <c r="B497" s="16">
        <v>70000</v>
      </c>
      <c r="C497" s="16"/>
      <c r="D497" s="18"/>
      <c r="E497" s="18"/>
      <c r="F497" s="18"/>
      <c r="G497" s="18"/>
    </row>
    <row r="498" spans="1:7" x14ac:dyDescent="0.25">
      <c r="A498" s="7" t="s">
        <v>91</v>
      </c>
      <c r="B498" s="8">
        <v>55691960</v>
      </c>
      <c r="C498" s="8">
        <v>13929852</v>
      </c>
      <c r="D498" s="8">
        <v>11947409.41</v>
      </c>
      <c r="E498" s="8">
        <v>11833772.449999999</v>
      </c>
      <c r="F498" s="9">
        <f t="shared" ref="F498" si="16">D498/C498</f>
        <v>0.85768387273604918</v>
      </c>
      <c r="G498" s="9">
        <f t="shared" ref="G498" si="17">D498/B498</f>
        <v>0.21452664639563773</v>
      </c>
    </row>
    <row r="499" spans="1:7" ht="36" x14ac:dyDescent="0.25">
      <c r="A499" s="10" t="s">
        <v>92</v>
      </c>
      <c r="B499" s="11">
        <v>55571960</v>
      </c>
      <c r="C499" s="11">
        <v>13879852</v>
      </c>
      <c r="D499" s="11">
        <v>11897469.07</v>
      </c>
      <c r="E499" s="11">
        <v>11783832.109999999</v>
      </c>
      <c r="F499" s="12">
        <f t="shared" ref="F499:F522" si="18">D499/C499</f>
        <v>0.85717549942175175</v>
      </c>
      <c r="G499" s="12">
        <f t="shared" ref="G499:G522" si="19">D499/B499</f>
        <v>0.21409122640266784</v>
      </c>
    </row>
    <row r="500" spans="1:7" x14ac:dyDescent="0.25">
      <c r="A500" s="10" t="s">
        <v>93</v>
      </c>
      <c r="B500" s="11">
        <v>13275193</v>
      </c>
      <c r="C500" s="11">
        <v>3420964</v>
      </c>
      <c r="D500" s="11">
        <v>2794196.48</v>
      </c>
      <c r="E500" s="11">
        <v>2708309.52</v>
      </c>
      <c r="F500" s="12">
        <f t="shared" si="18"/>
        <v>0.81678628597085501</v>
      </c>
      <c r="G500" s="12">
        <f t="shared" si="19"/>
        <v>0.21048255042318406</v>
      </c>
    </row>
    <row r="501" spans="1:7" x14ac:dyDescent="0.25">
      <c r="A501" s="15" t="s">
        <v>14</v>
      </c>
      <c r="B501" s="16">
        <v>8875516</v>
      </c>
      <c r="C501" s="16">
        <v>2100000</v>
      </c>
      <c r="D501" s="16">
        <v>2016651.14</v>
      </c>
      <c r="E501" s="16">
        <v>2016651.14</v>
      </c>
      <c r="F501" s="17">
        <f t="shared" si="18"/>
        <v>0.96031006666666663</v>
      </c>
      <c r="G501" s="17">
        <f t="shared" si="19"/>
        <v>0.2272150869876185</v>
      </c>
    </row>
    <row r="502" spans="1:7" x14ac:dyDescent="0.25">
      <c r="A502" s="15" t="s">
        <v>15</v>
      </c>
      <c r="B502" s="16">
        <v>1952614</v>
      </c>
      <c r="C502" s="16">
        <v>462000</v>
      </c>
      <c r="D502" s="16">
        <v>428924.56</v>
      </c>
      <c r="E502" s="16">
        <v>428924.56</v>
      </c>
      <c r="F502" s="17">
        <f t="shared" si="18"/>
        <v>0.92840813852813853</v>
      </c>
      <c r="G502" s="17">
        <f t="shared" si="19"/>
        <v>0.2196668465964087</v>
      </c>
    </row>
    <row r="503" spans="1:7" x14ac:dyDescent="0.25">
      <c r="A503" s="15" t="s">
        <v>16</v>
      </c>
      <c r="B503" s="16">
        <v>236300</v>
      </c>
      <c r="C503" s="16">
        <v>78300</v>
      </c>
      <c r="D503" s="16">
        <v>78085</v>
      </c>
      <c r="E503" s="16">
        <v>29108</v>
      </c>
      <c r="F503" s="17">
        <f t="shared" si="18"/>
        <v>0.99725415070242651</v>
      </c>
      <c r="G503" s="17">
        <f t="shared" si="19"/>
        <v>0.33044858231062207</v>
      </c>
    </row>
    <row r="504" spans="1:7" x14ac:dyDescent="0.25">
      <c r="A504" s="15" t="s">
        <v>17</v>
      </c>
      <c r="B504" s="16">
        <v>654559</v>
      </c>
      <c r="C504" s="16">
        <v>239559</v>
      </c>
      <c r="D504" s="16">
        <v>78315.34</v>
      </c>
      <c r="E504" s="16">
        <v>41405.379999999997</v>
      </c>
      <c r="F504" s="17">
        <f t="shared" si="18"/>
        <v>0.32691462228511553</v>
      </c>
      <c r="G504" s="17">
        <f t="shared" si="19"/>
        <v>0.11964596010443672</v>
      </c>
    </row>
    <row r="505" spans="1:7" x14ac:dyDescent="0.25">
      <c r="A505" s="15" t="s">
        <v>26</v>
      </c>
      <c r="B505" s="16">
        <v>545000</v>
      </c>
      <c r="C505" s="16">
        <v>150000</v>
      </c>
      <c r="D505" s="16">
        <v>56535.38</v>
      </c>
      <c r="E505" s="16">
        <v>56535.38</v>
      </c>
      <c r="F505" s="17">
        <f t="shared" si="18"/>
        <v>0.37690253333333329</v>
      </c>
      <c r="G505" s="17">
        <f t="shared" si="19"/>
        <v>0.10373464220183486</v>
      </c>
    </row>
    <row r="506" spans="1:7" x14ac:dyDescent="0.25">
      <c r="A506" s="15" t="s">
        <v>18</v>
      </c>
      <c r="B506" s="16">
        <v>413705</v>
      </c>
      <c r="C506" s="16">
        <v>220202</v>
      </c>
      <c r="D506" s="16">
        <v>96325.38</v>
      </c>
      <c r="E506" s="16">
        <v>96325.38</v>
      </c>
      <c r="F506" s="17">
        <f t="shared" si="18"/>
        <v>0.43744098600376019</v>
      </c>
      <c r="G506" s="17">
        <f t="shared" si="19"/>
        <v>0.23283590964576209</v>
      </c>
    </row>
    <row r="507" spans="1:7" x14ac:dyDescent="0.25">
      <c r="A507" s="15" t="s">
        <v>19</v>
      </c>
      <c r="B507" s="16">
        <v>138485</v>
      </c>
      <c r="C507" s="16">
        <v>33945</v>
      </c>
      <c r="D507" s="16">
        <v>13617.96</v>
      </c>
      <c r="E507" s="16">
        <v>13617.96</v>
      </c>
      <c r="F507" s="17">
        <f t="shared" si="18"/>
        <v>0.4011771984091913</v>
      </c>
      <c r="G507" s="17">
        <f t="shared" si="19"/>
        <v>9.8335270967974869E-2</v>
      </c>
    </row>
    <row r="508" spans="1:7" x14ac:dyDescent="0.25">
      <c r="A508" s="15" t="s">
        <v>20</v>
      </c>
      <c r="B508" s="16">
        <v>437280</v>
      </c>
      <c r="C508" s="16">
        <v>132152</v>
      </c>
      <c r="D508" s="16">
        <v>23577.94</v>
      </c>
      <c r="E508" s="16">
        <v>23577.94</v>
      </c>
      <c r="F508" s="17">
        <f t="shared" si="18"/>
        <v>0.17841530964344088</v>
      </c>
      <c r="G508" s="17">
        <f t="shared" si="19"/>
        <v>5.3919548115623855E-2</v>
      </c>
    </row>
    <row r="509" spans="1:7" ht="24" x14ac:dyDescent="0.25">
      <c r="A509" s="15" t="s">
        <v>32</v>
      </c>
      <c r="B509" s="16">
        <v>21734</v>
      </c>
      <c r="C509" s="16">
        <v>4806</v>
      </c>
      <c r="D509" s="16">
        <v>2163.7800000000002</v>
      </c>
      <c r="E509" s="16">
        <v>2163.7800000000002</v>
      </c>
      <c r="F509" s="17">
        <f t="shared" si="18"/>
        <v>0.45022471910112366</v>
      </c>
      <c r="G509" s="17">
        <f t="shared" si="19"/>
        <v>9.9557375540627602E-2</v>
      </c>
    </row>
    <row r="510" spans="1:7" x14ac:dyDescent="0.25">
      <c r="A510" s="10" t="s">
        <v>94</v>
      </c>
      <c r="B510" s="11">
        <v>17990461</v>
      </c>
      <c r="C510" s="11">
        <v>4689712</v>
      </c>
      <c r="D510" s="11">
        <v>4168284.65</v>
      </c>
      <c r="E510" s="11">
        <v>4140534.65</v>
      </c>
      <c r="F510" s="12">
        <f t="shared" si="18"/>
        <v>0.88881463296680052</v>
      </c>
      <c r="G510" s="12">
        <f t="shared" si="19"/>
        <v>0.23169415447441841</v>
      </c>
    </row>
    <row r="511" spans="1:7" x14ac:dyDescent="0.25">
      <c r="A511" s="15" t="s">
        <v>14</v>
      </c>
      <c r="B511" s="16">
        <v>13230943</v>
      </c>
      <c r="C511" s="16">
        <v>3382733</v>
      </c>
      <c r="D511" s="16">
        <v>3143811.08</v>
      </c>
      <c r="E511" s="16">
        <v>3143811.08</v>
      </c>
      <c r="F511" s="17">
        <f t="shared" si="18"/>
        <v>0.92937015129482581</v>
      </c>
      <c r="G511" s="17">
        <f t="shared" si="19"/>
        <v>0.23761050742944023</v>
      </c>
    </row>
    <row r="512" spans="1:7" x14ac:dyDescent="0.25">
      <c r="A512" s="15" t="s">
        <v>15</v>
      </c>
      <c r="B512" s="16">
        <v>2910808</v>
      </c>
      <c r="C512" s="16">
        <v>744201</v>
      </c>
      <c r="D512" s="16">
        <v>687253.05</v>
      </c>
      <c r="E512" s="16">
        <v>687253.05</v>
      </c>
      <c r="F512" s="17">
        <f t="shared" si="18"/>
        <v>0.92347772980686671</v>
      </c>
      <c r="G512" s="17">
        <f t="shared" si="19"/>
        <v>0.23610387562491242</v>
      </c>
    </row>
    <row r="513" spans="1:7" x14ac:dyDescent="0.25">
      <c r="A513" s="15" t="s">
        <v>16</v>
      </c>
      <c r="B513" s="16">
        <v>186200</v>
      </c>
      <c r="C513" s="16">
        <v>46556</v>
      </c>
      <c r="D513" s="16">
        <v>31958.7</v>
      </c>
      <c r="E513" s="16">
        <v>4208.7</v>
      </c>
      <c r="F513" s="17">
        <f t="shared" si="18"/>
        <v>0.68645716985995364</v>
      </c>
      <c r="G513" s="17">
        <f t="shared" si="19"/>
        <v>0.17163641245972072</v>
      </c>
    </row>
    <row r="514" spans="1:7" x14ac:dyDescent="0.25">
      <c r="A514" s="15" t="s">
        <v>17</v>
      </c>
      <c r="B514" s="16">
        <v>413800</v>
      </c>
      <c r="C514" s="16">
        <v>102653</v>
      </c>
      <c r="D514" s="16">
        <v>41366.85</v>
      </c>
      <c r="E514" s="16">
        <v>41366.85</v>
      </c>
      <c r="F514" s="17">
        <f t="shared" si="18"/>
        <v>0.40297750674602789</v>
      </c>
      <c r="G514" s="17">
        <f t="shared" si="19"/>
        <v>9.9968221362977283E-2</v>
      </c>
    </row>
    <row r="515" spans="1:7" x14ac:dyDescent="0.25">
      <c r="A515" s="15" t="s">
        <v>26</v>
      </c>
      <c r="B515" s="16">
        <v>490000</v>
      </c>
      <c r="C515" s="16">
        <v>122503</v>
      </c>
      <c r="D515" s="16">
        <v>115603.84</v>
      </c>
      <c r="E515" s="16">
        <v>115603.84</v>
      </c>
      <c r="F515" s="17">
        <f t="shared" si="18"/>
        <v>0.94368170575414478</v>
      </c>
      <c r="G515" s="17">
        <f t="shared" si="19"/>
        <v>0.23592620408163265</v>
      </c>
    </row>
    <row r="516" spans="1:7" x14ac:dyDescent="0.25">
      <c r="A516" s="15" t="s">
        <v>18</v>
      </c>
      <c r="B516" s="16">
        <v>397991</v>
      </c>
      <c r="C516" s="16">
        <v>205537</v>
      </c>
      <c r="D516" s="16">
        <v>137906.29999999999</v>
      </c>
      <c r="E516" s="16">
        <v>137906.29999999999</v>
      </c>
      <c r="F516" s="17">
        <f t="shared" si="18"/>
        <v>0.67095608090027581</v>
      </c>
      <c r="G516" s="17">
        <f t="shared" si="19"/>
        <v>0.34650607677058021</v>
      </c>
    </row>
    <row r="517" spans="1:7" x14ac:dyDescent="0.25">
      <c r="A517" s="15" t="s">
        <v>19</v>
      </c>
      <c r="B517" s="16">
        <v>43350</v>
      </c>
      <c r="C517" s="16">
        <v>10173</v>
      </c>
      <c r="D517" s="19">
        <v>633.20000000000005</v>
      </c>
      <c r="E517" s="19">
        <v>633.20000000000005</v>
      </c>
      <c r="F517" s="17">
        <f t="shared" si="18"/>
        <v>6.2243192765162693E-2</v>
      </c>
      <c r="G517" s="17">
        <f t="shared" si="19"/>
        <v>1.4606689734717418E-2</v>
      </c>
    </row>
    <row r="518" spans="1:7" x14ac:dyDescent="0.25">
      <c r="A518" s="15" t="s">
        <v>20</v>
      </c>
      <c r="B518" s="16">
        <v>296019</v>
      </c>
      <c r="C518" s="16">
        <v>70370</v>
      </c>
      <c r="D518" s="16">
        <v>6873.21</v>
      </c>
      <c r="E518" s="16">
        <v>6873.21</v>
      </c>
      <c r="F518" s="17">
        <f t="shared" si="18"/>
        <v>9.7672445644450767E-2</v>
      </c>
      <c r="G518" s="17">
        <f t="shared" si="19"/>
        <v>2.3218813657231462E-2</v>
      </c>
    </row>
    <row r="519" spans="1:7" ht="24" x14ac:dyDescent="0.25">
      <c r="A519" s="15" t="s">
        <v>32</v>
      </c>
      <c r="B519" s="16">
        <v>21350</v>
      </c>
      <c r="C519" s="16">
        <v>4986</v>
      </c>
      <c r="D519" s="16">
        <v>2878.42</v>
      </c>
      <c r="E519" s="16">
        <v>2878.42</v>
      </c>
      <c r="F519" s="17">
        <f t="shared" si="18"/>
        <v>0.57730044123545932</v>
      </c>
      <c r="G519" s="17">
        <f t="shared" si="19"/>
        <v>0.13482060889929742</v>
      </c>
    </row>
    <row r="520" spans="1:7" x14ac:dyDescent="0.25">
      <c r="A520" s="10" t="s">
        <v>95</v>
      </c>
      <c r="B520" s="11">
        <v>10827558</v>
      </c>
      <c r="C520" s="11">
        <v>2468707</v>
      </c>
      <c r="D520" s="11">
        <v>1977392.6</v>
      </c>
      <c r="E520" s="11">
        <v>1977392.6</v>
      </c>
      <c r="F520" s="12">
        <f t="shared" si="18"/>
        <v>0.8009831057310568</v>
      </c>
      <c r="G520" s="12">
        <f t="shared" si="19"/>
        <v>0.18262590696812708</v>
      </c>
    </row>
    <row r="521" spans="1:7" x14ac:dyDescent="0.25">
      <c r="A521" s="15" t="s">
        <v>14</v>
      </c>
      <c r="B521" s="16">
        <v>7968650</v>
      </c>
      <c r="C521" s="16">
        <v>1819200</v>
      </c>
      <c r="D521" s="16">
        <v>1522895.33</v>
      </c>
      <c r="E521" s="16">
        <v>1522895.33</v>
      </c>
      <c r="F521" s="17">
        <f t="shared" si="18"/>
        <v>0.8371236422603342</v>
      </c>
      <c r="G521" s="17">
        <f t="shared" si="19"/>
        <v>0.19111083182220326</v>
      </c>
    </row>
    <row r="522" spans="1:7" x14ac:dyDescent="0.25">
      <c r="A522" s="15" t="s">
        <v>15</v>
      </c>
      <c r="B522" s="16">
        <v>1753103</v>
      </c>
      <c r="C522" s="16">
        <v>400224</v>
      </c>
      <c r="D522" s="16">
        <v>336831.77</v>
      </c>
      <c r="E522" s="16">
        <v>336831.77</v>
      </c>
      <c r="F522" s="17">
        <f t="shared" si="18"/>
        <v>0.84160812445030786</v>
      </c>
      <c r="G522" s="17">
        <f t="shared" si="19"/>
        <v>0.19213461502261991</v>
      </c>
    </row>
    <row r="523" spans="1:7" x14ac:dyDescent="0.25">
      <c r="A523" s="15" t="s">
        <v>16</v>
      </c>
      <c r="B523" s="16">
        <v>146100</v>
      </c>
      <c r="C523" s="16">
        <v>36525</v>
      </c>
      <c r="D523" s="18"/>
      <c r="E523" s="18"/>
      <c r="F523" s="18"/>
      <c r="G523" s="18"/>
    </row>
    <row r="524" spans="1:7" x14ac:dyDescent="0.25">
      <c r="A524" s="15" t="s">
        <v>17</v>
      </c>
      <c r="B524" s="16">
        <v>433900</v>
      </c>
      <c r="C524" s="16">
        <v>36800</v>
      </c>
      <c r="D524" s="16">
        <v>36800</v>
      </c>
      <c r="E524" s="16">
        <v>36800</v>
      </c>
      <c r="F524" s="17">
        <f t="shared" ref="F524:F528" si="20">D524/C524</f>
        <v>1</v>
      </c>
      <c r="G524" s="17">
        <f t="shared" ref="G524:G528" si="21">D524/B524</f>
        <v>8.4812168702466009E-2</v>
      </c>
    </row>
    <row r="525" spans="1:7" x14ac:dyDescent="0.25">
      <c r="A525" s="15" t="s">
        <v>26</v>
      </c>
      <c r="B525" s="16">
        <v>150000</v>
      </c>
      <c r="C525" s="16">
        <v>50000</v>
      </c>
      <c r="D525" s="16">
        <v>43894.34</v>
      </c>
      <c r="E525" s="16">
        <v>43894.34</v>
      </c>
      <c r="F525" s="17">
        <f t="shared" si="20"/>
        <v>0.87788679999999997</v>
      </c>
      <c r="G525" s="17">
        <f t="shared" si="21"/>
        <v>0.29262893333333329</v>
      </c>
    </row>
    <row r="526" spans="1:7" x14ac:dyDescent="0.25">
      <c r="A526" s="15" t="s">
        <v>18</v>
      </c>
      <c r="B526" s="16">
        <v>162022</v>
      </c>
      <c r="C526" s="16">
        <v>73898</v>
      </c>
      <c r="D526" s="16">
        <v>33362.019999999997</v>
      </c>
      <c r="E526" s="16">
        <v>33362.019999999997</v>
      </c>
      <c r="F526" s="17">
        <f t="shared" si="20"/>
        <v>0.45146039135023946</v>
      </c>
      <c r="G526" s="17">
        <f t="shared" si="21"/>
        <v>0.20591043191665329</v>
      </c>
    </row>
    <row r="527" spans="1:7" x14ac:dyDescent="0.25">
      <c r="A527" s="15" t="s">
        <v>19</v>
      </c>
      <c r="B527" s="16">
        <v>31121</v>
      </c>
      <c r="C527" s="16">
        <v>7325</v>
      </c>
      <c r="D527" s="19">
        <v>999.24</v>
      </c>
      <c r="E527" s="19">
        <v>999.24</v>
      </c>
      <c r="F527" s="17">
        <f t="shared" si="20"/>
        <v>0.13641501706484641</v>
      </c>
      <c r="G527" s="17">
        <f t="shared" si="21"/>
        <v>3.2108222743485106E-2</v>
      </c>
    </row>
    <row r="528" spans="1:7" x14ac:dyDescent="0.25">
      <c r="A528" s="15" t="s">
        <v>20</v>
      </c>
      <c r="B528" s="16">
        <v>171970</v>
      </c>
      <c r="C528" s="16">
        <v>42065</v>
      </c>
      <c r="D528" s="16">
        <v>2609.9</v>
      </c>
      <c r="E528" s="16">
        <v>2609.9</v>
      </c>
      <c r="F528" s="17">
        <f t="shared" si="20"/>
        <v>6.2044455010103416E-2</v>
      </c>
      <c r="G528" s="17">
        <f t="shared" si="21"/>
        <v>1.5176484270512299E-2</v>
      </c>
    </row>
    <row r="529" spans="1:7" ht="24" x14ac:dyDescent="0.25">
      <c r="A529" s="15" t="s">
        <v>32</v>
      </c>
      <c r="B529" s="16">
        <v>10692</v>
      </c>
      <c r="C529" s="16">
        <v>2670</v>
      </c>
      <c r="D529" s="18"/>
      <c r="E529" s="18"/>
      <c r="F529" s="18"/>
      <c r="G529" s="18"/>
    </row>
    <row r="530" spans="1:7" x14ac:dyDescent="0.25">
      <c r="A530" s="10" t="s">
        <v>96</v>
      </c>
      <c r="B530" s="11">
        <v>13478748</v>
      </c>
      <c r="C530" s="11">
        <v>3300469</v>
      </c>
      <c r="D530" s="11">
        <v>2957595.34</v>
      </c>
      <c r="E530" s="11">
        <v>2957595.34</v>
      </c>
      <c r="F530" s="12">
        <f t="shared" ref="F530:F539" si="22">D530/C530</f>
        <v>0.89611365536231358</v>
      </c>
      <c r="G530" s="12">
        <f t="shared" ref="G530:G539" si="23">D530/B530</f>
        <v>0.21942656246707778</v>
      </c>
    </row>
    <row r="531" spans="1:7" x14ac:dyDescent="0.25">
      <c r="A531" s="15" t="s">
        <v>14</v>
      </c>
      <c r="B531" s="16">
        <v>9287124</v>
      </c>
      <c r="C531" s="16">
        <v>2100000</v>
      </c>
      <c r="D531" s="16">
        <v>2090866.14</v>
      </c>
      <c r="E531" s="16">
        <v>2090866.14</v>
      </c>
      <c r="F531" s="17">
        <f t="shared" si="22"/>
        <v>0.99565054285714283</v>
      </c>
      <c r="G531" s="17">
        <f t="shared" si="23"/>
        <v>0.22513602058075244</v>
      </c>
    </row>
    <row r="532" spans="1:7" x14ac:dyDescent="0.25">
      <c r="A532" s="15" t="s">
        <v>15</v>
      </c>
      <c r="B532" s="16">
        <v>2043167</v>
      </c>
      <c r="C532" s="16">
        <v>462000</v>
      </c>
      <c r="D532" s="16">
        <v>459990.5</v>
      </c>
      <c r="E532" s="16">
        <v>459990.5</v>
      </c>
      <c r="F532" s="17">
        <f t="shared" si="22"/>
        <v>0.99565043290043287</v>
      </c>
      <c r="G532" s="17">
        <f t="shared" si="23"/>
        <v>0.22513602657051529</v>
      </c>
    </row>
    <row r="533" spans="1:7" x14ac:dyDescent="0.25">
      <c r="A533" s="15" t="s">
        <v>16</v>
      </c>
      <c r="B533" s="16">
        <v>130000</v>
      </c>
      <c r="C533" s="16">
        <v>10000</v>
      </c>
      <c r="D533" s="16">
        <v>10000</v>
      </c>
      <c r="E533" s="16">
        <v>10000</v>
      </c>
      <c r="F533" s="17">
        <f t="shared" si="22"/>
        <v>1</v>
      </c>
      <c r="G533" s="17">
        <f t="shared" si="23"/>
        <v>7.6923076923076927E-2</v>
      </c>
    </row>
    <row r="534" spans="1:7" x14ac:dyDescent="0.25">
      <c r="A534" s="15" t="s">
        <v>17</v>
      </c>
      <c r="B534" s="16">
        <v>320000</v>
      </c>
      <c r="C534" s="16">
        <v>70000</v>
      </c>
      <c r="D534" s="16">
        <v>30234.080000000002</v>
      </c>
      <c r="E534" s="16">
        <v>30234.080000000002</v>
      </c>
      <c r="F534" s="17">
        <f t="shared" si="22"/>
        <v>0.43191542857142862</v>
      </c>
      <c r="G534" s="17">
        <f t="shared" si="23"/>
        <v>9.448150000000001E-2</v>
      </c>
    </row>
    <row r="535" spans="1:7" x14ac:dyDescent="0.25">
      <c r="A535" s="15" t="s">
        <v>26</v>
      </c>
      <c r="B535" s="16">
        <v>500000</v>
      </c>
      <c r="C535" s="16">
        <v>160000</v>
      </c>
      <c r="D535" s="16">
        <v>98283.91</v>
      </c>
      <c r="E535" s="16">
        <v>98283.91</v>
      </c>
      <c r="F535" s="17">
        <f t="shared" si="22"/>
        <v>0.61427443749999999</v>
      </c>
      <c r="G535" s="17">
        <f t="shared" si="23"/>
        <v>0.19656782</v>
      </c>
    </row>
    <row r="536" spans="1:7" x14ac:dyDescent="0.25">
      <c r="A536" s="15" t="s">
        <v>18</v>
      </c>
      <c r="B536" s="16">
        <v>718824</v>
      </c>
      <c r="C536" s="16">
        <v>374515</v>
      </c>
      <c r="D536" s="16">
        <v>240895.12</v>
      </c>
      <c r="E536" s="16">
        <v>240895.12</v>
      </c>
      <c r="F536" s="17">
        <f t="shared" si="22"/>
        <v>0.64321888308879482</v>
      </c>
      <c r="G536" s="17">
        <f t="shared" si="23"/>
        <v>0.33512392463245522</v>
      </c>
    </row>
    <row r="537" spans="1:7" x14ac:dyDescent="0.25">
      <c r="A537" s="15" t="s">
        <v>19</v>
      </c>
      <c r="B537" s="16">
        <v>87921</v>
      </c>
      <c r="C537" s="16">
        <v>21521</v>
      </c>
      <c r="D537" s="16">
        <v>2423.13</v>
      </c>
      <c r="E537" s="16">
        <v>2423.13</v>
      </c>
      <c r="F537" s="17">
        <f t="shared" si="22"/>
        <v>0.11259374564378979</v>
      </c>
      <c r="G537" s="17">
        <f t="shared" si="23"/>
        <v>2.7560309823591634E-2</v>
      </c>
    </row>
    <row r="538" spans="1:7" x14ac:dyDescent="0.25">
      <c r="A538" s="15" t="s">
        <v>20</v>
      </c>
      <c r="B538" s="16">
        <v>379897</v>
      </c>
      <c r="C538" s="16">
        <v>99229</v>
      </c>
      <c r="D538" s="16">
        <v>24638.51</v>
      </c>
      <c r="E538" s="16">
        <v>24638.51</v>
      </c>
      <c r="F538" s="17">
        <f t="shared" si="22"/>
        <v>0.24829948906065766</v>
      </c>
      <c r="G538" s="17">
        <f t="shared" si="23"/>
        <v>6.4855763535905775E-2</v>
      </c>
    </row>
    <row r="539" spans="1:7" x14ac:dyDescent="0.25">
      <c r="A539" s="15" t="s">
        <v>39</v>
      </c>
      <c r="B539" s="19">
        <v>994</v>
      </c>
      <c r="C539" s="19">
        <v>498</v>
      </c>
      <c r="D539" s="19">
        <v>263.95</v>
      </c>
      <c r="E539" s="19">
        <v>263.95</v>
      </c>
      <c r="F539" s="17">
        <f t="shared" si="22"/>
        <v>0.53002008032128511</v>
      </c>
      <c r="G539" s="17">
        <f t="shared" si="23"/>
        <v>0.26554325955734404</v>
      </c>
    </row>
    <row r="540" spans="1:7" ht="24" x14ac:dyDescent="0.25">
      <c r="A540" s="15" t="s">
        <v>32</v>
      </c>
      <c r="B540" s="16">
        <v>10821</v>
      </c>
      <c r="C540" s="16">
        <v>2706</v>
      </c>
      <c r="D540" s="18"/>
      <c r="E540" s="18"/>
      <c r="F540" s="18"/>
      <c r="G540" s="18"/>
    </row>
    <row r="541" spans="1:7" ht="48" x14ac:dyDescent="0.25">
      <c r="A541" s="10" t="s">
        <v>97</v>
      </c>
      <c r="B541" s="11">
        <v>120000</v>
      </c>
      <c r="C541" s="11">
        <v>50000</v>
      </c>
      <c r="D541" s="11">
        <v>49940.34</v>
      </c>
      <c r="E541" s="11">
        <v>49940.34</v>
      </c>
      <c r="F541" s="12">
        <f t="shared" ref="F541:F543" si="24">D541/C541</f>
        <v>0.99880679999999988</v>
      </c>
      <c r="G541" s="12">
        <f t="shared" ref="G541:G543" si="25">D541/B541</f>
        <v>0.41616949999999997</v>
      </c>
    </row>
    <row r="542" spans="1:7" ht="24" x14ac:dyDescent="0.25">
      <c r="A542" s="10" t="s">
        <v>28</v>
      </c>
      <c r="B542" s="11">
        <v>120000</v>
      </c>
      <c r="C542" s="11">
        <v>50000</v>
      </c>
      <c r="D542" s="11">
        <v>49940.34</v>
      </c>
      <c r="E542" s="11">
        <v>49940.34</v>
      </c>
      <c r="F542" s="12">
        <f t="shared" si="24"/>
        <v>0.99880679999999988</v>
      </c>
      <c r="G542" s="12">
        <f t="shared" si="25"/>
        <v>0.41616949999999997</v>
      </c>
    </row>
    <row r="543" spans="1:7" x14ac:dyDescent="0.25">
      <c r="A543" s="15" t="s">
        <v>16</v>
      </c>
      <c r="B543" s="16">
        <v>120000</v>
      </c>
      <c r="C543" s="16">
        <v>50000</v>
      </c>
      <c r="D543" s="16">
        <v>49940.34</v>
      </c>
      <c r="E543" s="16">
        <v>49940.34</v>
      </c>
      <c r="F543" s="17">
        <f t="shared" si="24"/>
        <v>0.99880679999999988</v>
      </c>
      <c r="G543" s="17">
        <f t="shared" si="25"/>
        <v>0.41616949999999997</v>
      </c>
    </row>
    <row r="544" spans="1:7" x14ac:dyDescent="0.25">
      <c r="A544" s="7" t="s">
        <v>98</v>
      </c>
      <c r="B544" s="8">
        <v>2929181</v>
      </c>
      <c r="C544" s="22"/>
      <c r="D544" s="22"/>
      <c r="E544" s="22"/>
      <c r="F544" s="22"/>
      <c r="G544" s="22"/>
    </row>
    <row r="545" spans="1:7" ht="24" x14ac:dyDescent="0.25">
      <c r="A545" s="10" t="s">
        <v>99</v>
      </c>
      <c r="B545" s="11">
        <v>2929181</v>
      </c>
      <c r="C545" s="21"/>
      <c r="D545" s="21"/>
      <c r="E545" s="21"/>
      <c r="F545" s="21"/>
      <c r="G545" s="21"/>
    </row>
    <row r="546" spans="1:7" ht="36" x14ac:dyDescent="0.25">
      <c r="A546" s="10" t="s">
        <v>100</v>
      </c>
      <c r="B546" s="11">
        <v>2929181</v>
      </c>
      <c r="C546" s="21"/>
      <c r="D546" s="21"/>
      <c r="E546" s="21"/>
      <c r="F546" s="21"/>
      <c r="G546" s="21"/>
    </row>
    <row r="547" spans="1:7" ht="24" x14ac:dyDescent="0.25">
      <c r="A547" s="15" t="s">
        <v>49</v>
      </c>
      <c r="B547" s="16">
        <v>2929181</v>
      </c>
      <c r="C547" s="18"/>
      <c r="D547" s="18"/>
      <c r="E547" s="18"/>
      <c r="F547" s="18"/>
      <c r="G547" s="18"/>
    </row>
    <row r="548" spans="1:7" x14ac:dyDescent="0.25">
      <c r="A548" s="7" t="s">
        <v>101</v>
      </c>
      <c r="B548" s="8">
        <f>B549</f>
        <v>15146745</v>
      </c>
      <c r="C548" s="8">
        <f>C549</f>
        <v>23507124</v>
      </c>
      <c r="D548" s="22"/>
      <c r="E548" s="22"/>
      <c r="F548" s="22"/>
      <c r="G548" s="22"/>
    </row>
    <row r="549" spans="1:7" x14ac:dyDescent="0.25">
      <c r="A549" s="23" t="s">
        <v>102</v>
      </c>
      <c r="B549" s="24">
        <f>B550+B553</f>
        <v>15146745</v>
      </c>
      <c r="C549" s="24">
        <f>C550+C553</f>
        <v>23507124</v>
      </c>
      <c r="D549" s="25"/>
      <c r="E549" s="25"/>
      <c r="F549" s="25"/>
      <c r="G549" s="25"/>
    </row>
    <row r="550" spans="1:7" ht="48" x14ac:dyDescent="0.25">
      <c r="A550" s="10" t="s">
        <v>103</v>
      </c>
      <c r="B550" s="11">
        <v>23507124</v>
      </c>
      <c r="C550" s="11">
        <v>23507124</v>
      </c>
      <c r="D550" s="21"/>
      <c r="E550" s="21"/>
      <c r="F550" s="21"/>
      <c r="G550" s="21"/>
    </row>
    <row r="551" spans="1:7" x14ac:dyDescent="0.25">
      <c r="A551" s="10" t="s">
        <v>22</v>
      </c>
      <c r="B551" s="11">
        <v>23507124</v>
      </c>
      <c r="C551" s="11">
        <v>23507124</v>
      </c>
      <c r="D551" s="21"/>
      <c r="E551" s="21"/>
      <c r="F551" s="21"/>
      <c r="G551" s="21"/>
    </row>
    <row r="552" spans="1:7" ht="24" x14ac:dyDescent="0.25">
      <c r="A552" s="15" t="s">
        <v>104</v>
      </c>
      <c r="B552" s="16">
        <v>23507124</v>
      </c>
      <c r="C552" s="16">
        <v>23507124</v>
      </c>
      <c r="D552" s="18"/>
      <c r="E552" s="18"/>
      <c r="F552" s="18"/>
      <c r="G552" s="18"/>
    </row>
    <row r="553" spans="1:7" ht="48" x14ac:dyDescent="0.25">
      <c r="A553" s="10" t="s">
        <v>105</v>
      </c>
      <c r="B553" s="11">
        <v>-8360379</v>
      </c>
      <c r="C553" s="21"/>
      <c r="D553" s="21"/>
      <c r="E553" s="21"/>
      <c r="F553" s="21"/>
      <c r="G553" s="21"/>
    </row>
    <row r="554" spans="1:7" x14ac:dyDescent="0.25">
      <c r="A554" s="10" t="s">
        <v>22</v>
      </c>
      <c r="B554" s="11">
        <v>-8360379</v>
      </c>
      <c r="C554" s="21"/>
      <c r="D554" s="21"/>
      <c r="E554" s="21"/>
      <c r="F554" s="21"/>
      <c r="G554" s="21"/>
    </row>
    <row r="555" spans="1:7" ht="24" x14ac:dyDescent="0.25">
      <c r="A555" s="15" t="s">
        <v>104</v>
      </c>
      <c r="B555" s="24">
        <v>-8360379</v>
      </c>
      <c r="C555" s="18"/>
      <c r="D555" s="18"/>
      <c r="E555" s="18"/>
      <c r="F555" s="18"/>
      <c r="G555" s="18"/>
    </row>
    <row r="556" spans="1:7" x14ac:dyDescent="0.25">
      <c r="A556" s="4" t="s">
        <v>106</v>
      </c>
      <c r="B556" s="5">
        <f>B557+B569+B641+B646+B658+B664</f>
        <v>902403048</v>
      </c>
      <c r="C556" s="5">
        <f>C557+C569+C641+C646+C658+C664</f>
        <v>147665329</v>
      </c>
      <c r="D556" s="5">
        <f>D557+D569+D641+D646+D658+D664</f>
        <v>46638016.539999999</v>
      </c>
      <c r="E556" s="5">
        <f>E557+E569+E641+E646+E658+E664</f>
        <v>45009950.68</v>
      </c>
      <c r="F556" s="6">
        <f>D556/C556</f>
        <v>0.31583593017965644</v>
      </c>
      <c r="G556" s="6">
        <f>D556/B556</f>
        <v>5.1682024615679265E-2</v>
      </c>
    </row>
    <row r="557" spans="1:7" x14ac:dyDescent="0.25">
      <c r="A557" s="7" t="s">
        <v>11</v>
      </c>
      <c r="B557" s="8">
        <v>1811440</v>
      </c>
      <c r="C557" s="22"/>
      <c r="D557" s="22"/>
      <c r="E557" s="22"/>
      <c r="F557" s="22"/>
      <c r="G557" s="22"/>
    </row>
    <row r="558" spans="1:7" ht="36" x14ac:dyDescent="0.25">
      <c r="A558" s="10" t="s">
        <v>12</v>
      </c>
      <c r="B558" s="11">
        <v>1811440</v>
      </c>
      <c r="C558" s="21"/>
      <c r="D558" s="21"/>
      <c r="E558" s="21"/>
      <c r="F558" s="21"/>
      <c r="G558" s="21"/>
    </row>
    <row r="559" spans="1:7" ht="24" x14ac:dyDescent="0.25">
      <c r="A559" s="10" t="s">
        <v>13</v>
      </c>
      <c r="B559" s="11">
        <v>551640</v>
      </c>
      <c r="C559" s="21"/>
      <c r="D559" s="21"/>
      <c r="E559" s="21"/>
      <c r="F559" s="21"/>
      <c r="G559" s="21"/>
    </row>
    <row r="560" spans="1:7" ht="24" x14ac:dyDescent="0.25">
      <c r="A560" s="15" t="s">
        <v>107</v>
      </c>
      <c r="B560" s="16">
        <v>551640</v>
      </c>
      <c r="C560" s="18"/>
      <c r="D560" s="18"/>
      <c r="E560" s="18"/>
      <c r="F560" s="18"/>
      <c r="G560" s="18"/>
    </row>
    <row r="561" spans="1:7" x14ac:dyDescent="0.25">
      <c r="A561" s="10" t="s">
        <v>22</v>
      </c>
      <c r="B561" s="11">
        <v>960000</v>
      </c>
      <c r="C561" s="21"/>
      <c r="D561" s="21"/>
      <c r="E561" s="21"/>
      <c r="F561" s="21"/>
      <c r="G561" s="21"/>
    </row>
    <row r="562" spans="1:7" ht="24" x14ac:dyDescent="0.25">
      <c r="A562" s="15" t="s">
        <v>107</v>
      </c>
      <c r="B562" s="16">
        <v>960000</v>
      </c>
      <c r="C562" s="18"/>
      <c r="D562" s="18"/>
      <c r="E562" s="18"/>
      <c r="F562" s="18"/>
      <c r="G562" s="18"/>
    </row>
    <row r="563" spans="1:7" ht="24" x14ac:dyDescent="0.25">
      <c r="A563" s="10" t="s">
        <v>24</v>
      </c>
      <c r="B563" s="11">
        <v>99800</v>
      </c>
      <c r="C563" s="21"/>
      <c r="D563" s="21"/>
      <c r="E563" s="21"/>
      <c r="F563" s="21"/>
      <c r="G563" s="21"/>
    </row>
    <row r="564" spans="1:7" ht="24" x14ac:dyDescent="0.25">
      <c r="A564" s="15" t="s">
        <v>107</v>
      </c>
      <c r="B564" s="16">
        <v>99800</v>
      </c>
      <c r="C564" s="18"/>
      <c r="D564" s="18"/>
      <c r="E564" s="18"/>
      <c r="F564" s="18"/>
      <c r="G564" s="18"/>
    </row>
    <row r="565" spans="1:7" ht="24" x14ac:dyDescent="0.25">
      <c r="A565" s="10" t="s">
        <v>27</v>
      </c>
      <c r="B565" s="11">
        <v>65000</v>
      </c>
      <c r="C565" s="21"/>
      <c r="D565" s="21"/>
      <c r="E565" s="21"/>
      <c r="F565" s="21"/>
      <c r="G565" s="21"/>
    </row>
    <row r="566" spans="1:7" ht="24" x14ac:dyDescent="0.25">
      <c r="A566" s="15" t="s">
        <v>107</v>
      </c>
      <c r="B566" s="16">
        <v>65000</v>
      </c>
      <c r="C566" s="18"/>
      <c r="D566" s="18"/>
      <c r="E566" s="18"/>
      <c r="F566" s="18"/>
      <c r="G566" s="18"/>
    </row>
    <row r="567" spans="1:7" ht="24" x14ac:dyDescent="0.25">
      <c r="A567" s="10" t="s">
        <v>31</v>
      </c>
      <c r="B567" s="11">
        <v>135000</v>
      </c>
      <c r="C567" s="21"/>
      <c r="D567" s="21"/>
      <c r="E567" s="21"/>
      <c r="F567" s="21"/>
      <c r="G567" s="21"/>
    </row>
    <row r="568" spans="1:7" ht="24" x14ac:dyDescent="0.25">
      <c r="A568" s="15" t="s">
        <v>107</v>
      </c>
      <c r="B568" s="16">
        <v>135000</v>
      </c>
      <c r="C568" s="18"/>
      <c r="D568" s="18"/>
      <c r="E568" s="18"/>
      <c r="F568" s="18"/>
      <c r="G568" s="18"/>
    </row>
    <row r="569" spans="1:7" x14ac:dyDescent="0.25">
      <c r="A569" s="7" t="s">
        <v>33</v>
      </c>
      <c r="B569" s="8">
        <f>B570+B575+B582+B585+B590+B597+B603+B614+B625+B628</f>
        <v>638694994</v>
      </c>
      <c r="C569" s="8">
        <f t="shared" ref="C569:E569" si="26">C570+C575+C582+C585+C590+C597+C603+C614+C625+C628</f>
        <v>125340101</v>
      </c>
      <c r="D569" s="8">
        <f t="shared" si="26"/>
        <v>43818437.289999999</v>
      </c>
      <c r="E569" s="8">
        <f t="shared" si="26"/>
        <v>42190371.43</v>
      </c>
      <c r="F569" s="9">
        <f>D569/C569</f>
        <v>0.34959631387244533</v>
      </c>
      <c r="G569" s="9">
        <f>D569/B569</f>
        <v>6.8606201241026163E-2</v>
      </c>
    </row>
    <row r="570" spans="1:7" x14ac:dyDescent="0.25">
      <c r="A570" s="10" t="s">
        <v>34</v>
      </c>
      <c r="B570" s="11">
        <v>91178076</v>
      </c>
      <c r="C570" s="21"/>
      <c r="D570" s="21"/>
      <c r="E570" s="21"/>
      <c r="F570" s="21"/>
      <c r="G570" s="21"/>
    </row>
    <row r="571" spans="1:7" ht="24" x14ac:dyDescent="0.25">
      <c r="A571" s="10" t="s">
        <v>35</v>
      </c>
      <c r="B571" s="11">
        <v>700000</v>
      </c>
      <c r="C571" s="21"/>
      <c r="D571" s="21"/>
      <c r="E571" s="21"/>
      <c r="F571" s="21"/>
      <c r="G571" s="21"/>
    </row>
    <row r="572" spans="1:7" x14ac:dyDescent="0.25">
      <c r="A572" s="15" t="s">
        <v>108</v>
      </c>
      <c r="B572" s="16">
        <v>700000</v>
      </c>
      <c r="C572" s="18"/>
      <c r="D572" s="18"/>
      <c r="E572" s="18"/>
      <c r="F572" s="18"/>
      <c r="G572" s="18"/>
    </row>
    <row r="573" spans="1:7" ht="24" x14ac:dyDescent="0.25">
      <c r="A573" s="10" t="s">
        <v>29</v>
      </c>
      <c r="B573" s="11">
        <v>90478076</v>
      </c>
      <c r="C573" s="21"/>
      <c r="D573" s="21"/>
      <c r="E573" s="21"/>
      <c r="F573" s="21"/>
      <c r="G573" s="21"/>
    </row>
    <row r="574" spans="1:7" x14ac:dyDescent="0.25">
      <c r="A574" s="15" t="s">
        <v>108</v>
      </c>
      <c r="B574" s="16">
        <v>90478076</v>
      </c>
      <c r="C574" s="18"/>
      <c r="D574" s="18"/>
      <c r="E574" s="18"/>
      <c r="F574" s="18"/>
      <c r="G574" s="18"/>
    </row>
    <row r="575" spans="1:7" ht="36" x14ac:dyDescent="0.25">
      <c r="A575" s="10" t="s">
        <v>40</v>
      </c>
      <c r="B575" s="11">
        <v>117738988</v>
      </c>
      <c r="C575" s="21"/>
      <c r="D575" s="21"/>
      <c r="E575" s="21"/>
      <c r="F575" s="21"/>
      <c r="G575" s="21"/>
    </row>
    <row r="576" spans="1:7" x14ac:dyDescent="0.25">
      <c r="A576" s="10" t="s">
        <v>37</v>
      </c>
      <c r="B576" s="11">
        <v>3000000</v>
      </c>
      <c r="C576" s="21"/>
      <c r="D576" s="21"/>
      <c r="E576" s="21"/>
      <c r="F576" s="21"/>
      <c r="G576" s="21"/>
    </row>
    <row r="577" spans="1:7" x14ac:dyDescent="0.25">
      <c r="A577" s="15" t="s">
        <v>108</v>
      </c>
      <c r="B577" s="16">
        <v>3000000</v>
      </c>
      <c r="C577" s="18"/>
      <c r="D577" s="18"/>
      <c r="E577" s="18"/>
      <c r="F577" s="18"/>
      <c r="G577" s="18"/>
    </row>
    <row r="578" spans="1:7" ht="24" x14ac:dyDescent="0.25">
      <c r="A578" s="10" t="s">
        <v>43</v>
      </c>
      <c r="B578" s="11">
        <v>5000000</v>
      </c>
      <c r="C578" s="21"/>
      <c r="D578" s="21"/>
      <c r="E578" s="21"/>
      <c r="F578" s="21"/>
      <c r="G578" s="21"/>
    </row>
    <row r="579" spans="1:7" x14ac:dyDescent="0.25">
      <c r="A579" s="15" t="s">
        <v>108</v>
      </c>
      <c r="B579" s="16">
        <v>5000000</v>
      </c>
      <c r="C579" s="18"/>
      <c r="D579" s="18"/>
      <c r="E579" s="18"/>
      <c r="F579" s="18"/>
      <c r="G579" s="18"/>
    </row>
    <row r="580" spans="1:7" ht="24" x14ac:dyDescent="0.25">
      <c r="A580" s="10" t="s">
        <v>29</v>
      </c>
      <c r="B580" s="11">
        <v>109738988</v>
      </c>
      <c r="C580" s="21"/>
      <c r="D580" s="21"/>
      <c r="E580" s="21"/>
      <c r="F580" s="21"/>
      <c r="G580" s="21"/>
    </row>
    <row r="581" spans="1:7" x14ac:dyDescent="0.25">
      <c r="A581" s="15" t="s">
        <v>108</v>
      </c>
      <c r="B581" s="16">
        <v>109738988</v>
      </c>
      <c r="C581" s="18"/>
      <c r="D581" s="18"/>
      <c r="E581" s="18"/>
      <c r="F581" s="18"/>
      <c r="G581" s="18"/>
    </row>
    <row r="582" spans="1:7" ht="72" x14ac:dyDescent="0.25">
      <c r="A582" s="10" t="s">
        <v>44</v>
      </c>
      <c r="B582" s="11">
        <v>5000000</v>
      </c>
      <c r="C582" s="21"/>
      <c r="D582" s="21"/>
      <c r="E582" s="21"/>
      <c r="F582" s="21"/>
      <c r="G582" s="21"/>
    </row>
    <row r="583" spans="1:7" ht="24" x14ac:dyDescent="0.25">
      <c r="A583" s="10" t="s">
        <v>29</v>
      </c>
      <c r="B583" s="11">
        <v>5000000</v>
      </c>
      <c r="C583" s="21"/>
      <c r="D583" s="21"/>
      <c r="E583" s="21"/>
      <c r="F583" s="21"/>
      <c r="G583" s="21"/>
    </row>
    <row r="584" spans="1:7" x14ac:dyDescent="0.25">
      <c r="A584" s="15" t="s">
        <v>108</v>
      </c>
      <c r="B584" s="16">
        <v>5000000</v>
      </c>
      <c r="C584" s="18"/>
      <c r="D584" s="18"/>
      <c r="E584" s="18"/>
      <c r="F584" s="18"/>
      <c r="G584" s="18"/>
    </row>
    <row r="585" spans="1:7" ht="36" x14ac:dyDescent="0.25">
      <c r="A585" s="10" t="s">
        <v>45</v>
      </c>
      <c r="B585" s="11">
        <v>3900000</v>
      </c>
      <c r="C585" s="21"/>
      <c r="D585" s="21"/>
      <c r="E585" s="21"/>
      <c r="F585" s="21"/>
      <c r="G585" s="21"/>
    </row>
    <row r="586" spans="1:7" ht="24" x14ac:dyDescent="0.25">
      <c r="A586" s="10" t="s">
        <v>29</v>
      </c>
      <c r="B586" s="11">
        <v>1200000</v>
      </c>
      <c r="C586" s="21"/>
      <c r="D586" s="21"/>
      <c r="E586" s="21"/>
      <c r="F586" s="21"/>
      <c r="G586" s="21"/>
    </row>
    <row r="587" spans="1:7" x14ac:dyDescent="0.25">
      <c r="A587" s="15" t="s">
        <v>108</v>
      </c>
      <c r="B587" s="16">
        <v>1200000</v>
      </c>
      <c r="C587" s="18"/>
      <c r="D587" s="18"/>
      <c r="E587" s="18"/>
      <c r="F587" s="18"/>
      <c r="G587" s="18"/>
    </row>
    <row r="588" spans="1:7" x14ac:dyDescent="0.25">
      <c r="A588" s="10" t="s">
        <v>46</v>
      </c>
      <c r="B588" s="11">
        <v>2700000</v>
      </c>
      <c r="C588" s="21"/>
      <c r="D588" s="21"/>
      <c r="E588" s="21"/>
      <c r="F588" s="21"/>
      <c r="G588" s="21"/>
    </row>
    <row r="589" spans="1:7" x14ac:dyDescent="0.25">
      <c r="A589" s="15" t="s">
        <v>108</v>
      </c>
      <c r="B589" s="16">
        <v>2700000</v>
      </c>
      <c r="C589" s="18"/>
      <c r="D589" s="18"/>
      <c r="E589" s="18"/>
      <c r="F589" s="18"/>
      <c r="G589" s="18"/>
    </row>
    <row r="590" spans="1:7" ht="24" x14ac:dyDescent="0.25">
      <c r="A590" s="10" t="s">
        <v>61</v>
      </c>
      <c r="B590" s="11">
        <v>8000000</v>
      </c>
      <c r="C590" s="21"/>
      <c r="D590" s="21"/>
      <c r="E590" s="21"/>
      <c r="F590" s="21"/>
      <c r="G590" s="21"/>
    </row>
    <row r="591" spans="1:7" ht="24" x14ac:dyDescent="0.25">
      <c r="A591" s="10" t="s">
        <v>62</v>
      </c>
      <c r="B591" s="11">
        <v>2000000</v>
      </c>
      <c r="C591" s="21"/>
      <c r="D591" s="21"/>
      <c r="E591" s="21"/>
      <c r="F591" s="21"/>
      <c r="G591" s="21"/>
    </row>
    <row r="592" spans="1:7" x14ac:dyDescent="0.25">
      <c r="A592" s="15" t="s">
        <v>108</v>
      </c>
      <c r="B592" s="16">
        <v>2000000</v>
      </c>
      <c r="C592" s="18"/>
      <c r="D592" s="18"/>
      <c r="E592" s="18"/>
      <c r="F592" s="18"/>
      <c r="G592" s="18"/>
    </row>
    <row r="593" spans="1:7" ht="24" x14ac:dyDescent="0.25">
      <c r="A593" s="10" t="s">
        <v>29</v>
      </c>
      <c r="B593" s="11">
        <v>3000000</v>
      </c>
      <c r="C593" s="21"/>
      <c r="D593" s="21"/>
      <c r="E593" s="21"/>
      <c r="F593" s="21"/>
      <c r="G593" s="21"/>
    </row>
    <row r="594" spans="1:7" x14ac:dyDescent="0.25">
      <c r="A594" s="15" t="s">
        <v>108</v>
      </c>
      <c r="B594" s="16">
        <v>3000000</v>
      </c>
      <c r="C594" s="18"/>
      <c r="D594" s="18"/>
      <c r="E594" s="18"/>
      <c r="F594" s="18"/>
      <c r="G594" s="18"/>
    </row>
    <row r="595" spans="1:7" x14ac:dyDescent="0.25">
      <c r="A595" s="10" t="s">
        <v>46</v>
      </c>
      <c r="B595" s="11">
        <v>3000000</v>
      </c>
      <c r="C595" s="21"/>
      <c r="D595" s="21"/>
      <c r="E595" s="21"/>
      <c r="F595" s="21"/>
      <c r="G595" s="21"/>
    </row>
    <row r="596" spans="1:7" x14ac:dyDescent="0.25">
      <c r="A596" s="15" t="s">
        <v>108</v>
      </c>
      <c r="B596" s="16">
        <v>3000000</v>
      </c>
      <c r="C596" s="18"/>
      <c r="D596" s="18"/>
      <c r="E596" s="18"/>
      <c r="F596" s="18"/>
      <c r="G596" s="18"/>
    </row>
    <row r="597" spans="1:7" ht="24" x14ac:dyDescent="0.25">
      <c r="A597" s="10" t="s">
        <v>63</v>
      </c>
      <c r="B597" s="11">
        <v>10300000</v>
      </c>
      <c r="C597" s="21"/>
      <c r="D597" s="21"/>
      <c r="E597" s="21"/>
      <c r="F597" s="21"/>
      <c r="G597" s="21"/>
    </row>
    <row r="598" spans="1:7" ht="24" x14ac:dyDescent="0.25">
      <c r="A598" s="10" t="s">
        <v>31</v>
      </c>
      <c r="B598" s="11">
        <v>5300000</v>
      </c>
      <c r="C598" s="21"/>
      <c r="D598" s="21"/>
      <c r="E598" s="21"/>
      <c r="F598" s="21"/>
      <c r="G598" s="21"/>
    </row>
    <row r="599" spans="1:7" ht="24" x14ac:dyDescent="0.25">
      <c r="A599" s="15" t="s">
        <v>107</v>
      </c>
      <c r="B599" s="16">
        <v>2300000</v>
      </c>
      <c r="C599" s="18"/>
      <c r="D599" s="18"/>
      <c r="E599" s="18"/>
      <c r="F599" s="18"/>
      <c r="G599" s="18"/>
    </row>
    <row r="600" spans="1:7" x14ac:dyDescent="0.25">
      <c r="A600" s="15" t="s">
        <v>108</v>
      </c>
      <c r="B600" s="16">
        <v>3000000</v>
      </c>
      <c r="C600" s="18"/>
      <c r="D600" s="18"/>
      <c r="E600" s="18"/>
      <c r="F600" s="18"/>
      <c r="G600" s="18"/>
    </row>
    <row r="601" spans="1:7" ht="24" x14ac:dyDescent="0.25">
      <c r="A601" s="10" t="s">
        <v>64</v>
      </c>
      <c r="B601" s="11">
        <v>5000000</v>
      </c>
      <c r="C601" s="21"/>
      <c r="D601" s="21"/>
      <c r="E601" s="21"/>
      <c r="F601" s="21"/>
      <c r="G601" s="21"/>
    </row>
    <row r="602" spans="1:7" x14ac:dyDescent="0.25">
      <c r="A602" s="15" t="s">
        <v>108</v>
      </c>
      <c r="B602" s="16">
        <v>5000000</v>
      </c>
      <c r="C602" s="18"/>
      <c r="D602" s="18"/>
      <c r="E602" s="18"/>
      <c r="F602" s="18"/>
      <c r="G602" s="18"/>
    </row>
    <row r="603" spans="1:7" ht="60" x14ac:dyDescent="0.25">
      <c r="A603" s="10" t="s">
        <v>109</v>
      </c>
      <c r="B603" s="11">
        <v>5010800</v>
      </c>
      <c r="C603" s="21"/>
      <c r="D603" s="21"/>
      <c r="E603" s="21"/>
      <c r="F603" s="21"/>
      <c r="G603" s="21"/>
    </row>
    <row r="604" spans="1:7" ht="24" x14ac:dyDescent="0.25">
      <c r="A604" s="10" t="s">
        <v>35</v>
      </c>
      <c r="B604" s="11">
        <v>135000</v>
      </c>
      <c r="C604" s="21"/>
      <c r="D604" s="21"/>
      <c r="E604" s="21"/>
      <c r="F604" s="21"/>
      <c r="G604" s="21"/>
    </row>
    <row r="605" spans="1:7" ht="24" x14ac:dyDescent="0.25">
      <c r="A605" s="15" t="s">
        <v>107</v>
      </c>
      <c r="B605" s="16">
        <v>135000</v>
      </c>
      <c r="C605" s="18"/>
      <c r="D605" s="18"/>
      <c r="E605" s="18"/>
      <c r="F605" s="18"/>
      <c r="G605" s="18"/>
    </row>
    <row r="606" spans="1:7" x14ac:dyDescent="0.25">
      <c r="A606" s="10" t="s">
        <v>41</v>
      </c>
      <c r="B606" s="11">
        <v>180000</v>
      </c>
      <c r="C606" s="21"/>
      <c r="D606" s="21"/>
      <c r="E606" s="21"/>
      <c r="F606" s="21"/>
      <c r="G606" s="21"/>
    </row>
    <row r="607" spans="1:7" ht="24" x14ac:dyDescent="0.25">
      <c r="A607" s="15" t="s">
        <v>107</v>
      </c>
      <c r="B607" s="16">
        <v>180000</v>
      </c>
      <c r="C607" s="18"/>
      <c r="D607" s="18"/>
      <c r="E607" s="18"/>
      <c r="F607" s="18"/>
      <c r="G607" s="18"/>
    </row>
    <row r="608" spans="1:7" x14ac:dyDescent="0.25">
      <c r="A608" s="10" t="s">
        <v>37</v>
      </c>
      <c r="B608" s="11">
        <v>189800</v>
      </c>
      <c r="C608" s="21"/>
      <c r="D608" s="21"/>
      <c r="E608" s="21"/>
      <c r="F608" s="21"/>
      <c r="G608" s="21"/>
    </row>
    <row r="609" spans="1:7" ht="24" x14ac:dyDescent="0.25">
      <c r="A609" s="15" t="s">
        <v>107</v>
      </c>
      <c r="B609" s="16">
        <v>189800</v>
      </c>
      <c r="C609" s="18"/>
      <c r="D609" s="18"/>
      <c r="E609" s="18"/>
      <c r="F609" s="18"/>
      <c r="G609" s="18"/>
    </row>
    <row r="610" spans="1:7" ht="24" x14ac:dyDescent="0.25">
      <c r="A610" s="10" t="s">
        <v>43</v>
      </c>
      <c r="B610" s="11">
        <v>151840</v>
      </c>
      <c r="C610" s="21"/>
      <c r="D610" s="21"/>
      <c r="E610" s="21"/>
      <c r="F610" s="21"/>
      <c r="G610" s="21"/>
    </row>
    <row r="611" spans="1:7" ht="24" x14ac:dyDescent="0.25">
      <c r="A611" s="15" t="s">
        <v>107</v>
      </c>
      <c r="B611" s="16">
        <v>151840</v>
      </c>
      <c r="C611" s="18"/>
      <c r="D611" s="18"/>
      <c r="E611" s="18"/>
      <c r="F611" s="18"/>
      <c r="G611" s="18"/>
    </row>
    <row r="612" spans="1:7" ht="24" x14ac:dyDescent="0.25">
      <c r="A612" s="10" t="s">
        <v>29</v>
      </c>
      <c r="B612" s="11">
        <v>4354160</v>
      </c>
      <c r="C612" s="21"/>
      <c r="D612" s="21"/>
      <c r="E612" s="21"/>
      <c r="F612" s="21"/>
      <c r="G612" s="21"/>
    </row>
    <row r="613" spans="1:7" ht="24" x14ac:dyDescent="0.25">
      <c r="A613" s="15" t="s">
        <v>107</v>
      </c>
      <c r="B613" s="16">
        <v>4354160</v>
      </c>
      <c r="C613" s="18"/>
      <c r="D613" s="18"/>
      <c r="E613" s="18"/>
      <c r="F613" s="18"/>
      <c r="G613" s="18"/>
    </row>
    <row r="614" spans="1:7" ht="60" x14ac:dyDescent="0.25">
      <c r="A614" s="10" t="s">
        <v>110</v>
      </c>
      <c r="B614" s="11">
        <v>11691900</v>
      </c>
      <c r="C614" s="21"/>
      <c r="D614" s="21"/>
      <c r="E614" s="21"/>
      <c r="F614" s="21"/>
      <c r="G614" s="21"/>
    </row>
    <row r="615" spans="1:7" ht="24" x14ac:dyDescent="0.25">
      <c r="A615" s="10" t="s">
        <v>35</v>
      </c>
      <c r="B615" s="11">
        <v>315000</v>
      </c>
      <c r="C615" s="21"/>
      <c r="D615" s="21"/>
      <c r="E615" s="21"/>
      <c r="F615" s="21"/>
      <c r="G615" s="21"/>
    </row>
    <row r="616" spans="1:7" ht="24" x14ac:dyDescent="0.25">
      <c r="A616" s="15" t="s">
        <v>107</v>
      </c>
      <c r="B616" s="16">
        <v>315000</v>
      </c>
      <c r="C616" s="18"/>
      <c r="D616" s="18"/>
      <c r="E616" s="18"/>
      <c r="F616" s="18"/>
      <c r="G616" s="18"/>
    </row>
    <row r="617" spans="1:7" x14ac:dyDescent="0.25">
      <c r="A617" s="10" t="s">
        <v>41</v>
      </c>
      <c r="B617" s="11">
        <v>420000</v>
      </c>
      <c r="C617" s="21"/>
      <c r="D617" s="21"/>
      <c r="E617" s="21"/>
      <c r="F617" s="21"/>
      <c r="G617" s="21"/>
    </row>
    <row r="618" spans="1:7" ht="24" x14ac:dyDescent="0.25">
      <c r="A618" s="15" t="s">
        <v>107</v>
      </c>
      <c r="B618" s="16">
        <v>420000</v>
      </c>
      <c r="C618" s="18"/>
      <c r="D618" s="18"/>
      <c r="E618" s="18"/>
      <c r="F618" s="18"/>
      <c r="G618" s="18"/>
    </row>
    <row r="619" spans="1:7" x14ac:dyDescent="0.25">
      <c r="A619" s="10" t="s">
        <v>37</v>
      </c>
      <c r="B619" s="11">
        <v>442875</v>
      </c>
      <c r="C619" s="21"/>
      <c r="D619" s="21"/>
      <c r="E619" s="21"/>
      <c r="F619" s="21"/>
      <c r="G619" s="21"/>
    </row>
    <row r="620" spans="1:7" ht="24" x14ac:dyDescent="0.25">
      <c r="A620" s="15" t="s">
        <v>107</v>
      </c>
      <c r="B620" s="16">
        <v>442875</v>
      </c>
      <c r="C620" s="18"/>
      <c r="D620" s="18"/>
      <c r="E620" s="18"/>
      <c r="F620" s="18"/>
      <c r="G620" s="18"/>
    </row>
    <row r="621" spans="1:7" ht="24" x14ac:dyDescent="0.25">
      <c r="A621" s="10" t="s">
        <v>43</v>
      </c>
      <c r="B621" s="11">
        <v>354300</v>
      </c>
      <c r="C621" s="21"/>
      <c r="D621" s="21"/>
      <c r="E621" s="21"/>
      <c r="F621" s="21"/>
      <c r="G621" s="21"/>
    </row>
    <row r="622" spans="1:7" ht="24" x14ac:dyDescent="0.25">
      <c r="A622" s="15" t="s">
        <v>107</v>
      </c>
      <c r="B622" s="16">
        <v>354300</v>
      </c>
      <c r="C622" s="18"/>
      <c r="D622" s="18"/>
      <c r="E622" s="18"/>
      <c r="F622" s="18"/>
      <c r="G622" s="18"/>
    </row>
    <row r="623" spans="1:7" ht="24" x14ac:dyDescent="0.25">
      <c r="A623" s="10" t="s">
        <v>29</v>
      </c>
      <c r="B623" s="11">
        <v>10159725</v>
      </c>
      <c r="C623" s="21"/>
      <c r="D623" s="21"/>
      <c r="E623" s="21"/>
      <c r="F623" s="21"/>
      <c r="G623" s="21"/>
    </row>
    <row r="624" spans="1:7" ht="24" x14ac:dyDescent="0.25">
      <c r="A624" s="15" t="s">
        <v>107</v>
      </c>
      <c r="B624" s="16">
        <v>10159725</v>
      </c>
      <c r="C624" s="18"/>
      <c r="D624" s="18"/>
      <c r="E624" s="18"/>
      <c r="F624" s="18"/>
      <c r="G624" s="18"/>
    </row>
    <row r="625" spans="1:7" x14ac:dyDescent="0.25">
      <c r="A625" s="10" t="s">
        <v>111</v>
      </c>
      <c r="B625" s="11">
        <v>350805873</v>
      </c>
      <c r="C625" s="11">
        <v>105000000</v>
      </c>
      <c r="D625" s="11">
        <v>23478336.289999999</v>
      </c>
      <c r="E625" s="11">
        <v>23478336.289999999</v>
      </c>
      <c r="F625" s="12">
        <f t="shared" ref="F625:F630" si="27">D625/C625</f>
        <v>0.22360320276190476</v>
      </c>
      <c r="G625" s="12">
        <f t="shared" ref="G625:G630" si="28">D625/B625</f>
        <v>6.692686211100006E-2</v>
      </c>
    </row>
    <row r="626" spans="1:7" ht="24" x14ac:dyDescent="0.25">
      <c r="A626" s="10" t="s">
        <v>29</v>
      </c>
      <c r="B626" s="11">
        <v>350805873</v>
      </c>
      <c r="C626" s="11">
        <v>105000000</v>
      </c>
      <c r="D626" s="11">
        <v>23478336.289999999</v>
      </c>
      <c r="E626" s="11">
        <v>23478336.289999999</v>
      </c>
      <c r="F626" s="12">
        <f t="shared" si="27"/>
        <v>0.22360320276190476</v>
      </c>
      <c r="G626" s="12">
        <f t="shared" si="28"/>
        <v>6.692686211100006E-2</v>
      </c>
    </row>
    <row r="627" spans="1:7" x14ac:dyDescent="0.25">
      <c r="A627" s="15" t="s">
        <v>112</v>
      </c>
      <c r="B627" s="16">
        <v>350805873</v>
      </c>
      <c r="C627" s="16">
        <v>105000000</v>
      </c>
      <c r="D627" s="16">
        <v>23478336.289999999</v>
      </c>
      <c r="E627" s="16">
        <v>23478336.289999999</v>
      </c>
      <c r="F627" s="17">
        <f t="shared" si="27"/>
        <v>0.22360320276190476</v>
      </c>
      <c r="G627" s="17">
        <f t="shared" si="28"/>
        <v>6.692686211100006E-2</v>
      </c>
    </row>
    <row r="628" spans="1:7" ht="36" x14ac:dyDescent="0.25">
      <c r="A628" s="10" t="s">
        <v>113</v>
      </c>
      <c r="B628" s="11">
        <v>35069357</v>
      </c>
      <c r="C628" s="11">
        <v>20340101</v>
      </c>
      <c r="D628" s="11">
        <v>20340101</v>
      </c>
      <c r="E628" s="11">
        <v>18712035.140000001</v>
      </c>
      <c r="F628" s="12">
        <f t="shared" si="27"/>
        <v>1</v>
      </c>
      <c r="G628" s="12">
        <f t="shared" si="28"/>
        <v>0.57999640540885877</v>
      </c>
    </row>
    <row r="629" spans="1:7" ht="24" x14ac:dyDescent="0.25">
      <c r="A629" s="10" t="s">
        <v>35</v>
      </c>
      <c r="B629" s="11">
        <v>1032500</v>
      </c>
      <c r="C629" s="11">
        <v>516250</v>
      </c>
      <c r="D629" s="11">
        <v>516250</v>
      </c>
      <c r="E629" s="11">
        <v>221572.94</v>
      </c>
      <c r="F629" s="12">
        <f t="shared" si="27"/>
        <v>1</v>
      </c>
      <c r="G629" s="12">
        <f t="shared" si="28"/>
        <v>0.5</v>
      </c>
    </row>
    <row r="630" spans="1:7" x14ac:dyDescent="0.25">
      <c r="A630" s="15" t="s">
        <v>42</v>
      </c>
      <c r="B630" s="16">
        <v>1032500</v>
      </c>
      <c r="C630" s="16">
        <v>516250</v>
      </c>
      <c r="D630" s="16">
        <v>516250</v>
      </c>
      <c r="E630" s="16">
        <v>221572.94</v>
      </c>
      <c r="F630" s="17">
        <f t="shared" si="27"/>
        <v>1</v>
      </c>
      <c r="G630" s="17">
        <f t="shared" si="28"/>
        <v>0.5</v>
      </c>
    </row>
    <row r="631" spans="1:7" x14ac:dyDescent="0.25">
      <c r="A631" s="10" t="s">
        <v>41</v>
      </c>
      <c r="B631" s="11">
        <v>647016</v>
      </c>
      <c r="C631" s="21"/>
      <c r="D631" s="21"/>
      <c r="E631" s="21"/>
      <c r="F631" s="17"/>
      <c r="G631" s="17"/>
    </row>
    <row r="632" spans="1:7" x14ac:dyDescent="0.25">
      <c r="A632" s="15" t="s">
        <v>42</v>
      </c>
      <c r="B632" s="16">
        <v>647016</v>
      </c>
      <c r="C632" s="18"/>
      <c r="D632" s="18"/>
      <c r="E632" s="18"/>
      <c r="F632" s="17"/>
      <c r="G632" s="17"/>
    </row>
    <row r="633" spans="1:7" x14ac:dyDescent="0.25">
      <c r="A633" s="10" t="s">
        <v>37</v>
      </c>
      <c r="B633" s="11">
        <v>1746400</v>
      </c>
      <c r="C633" s="11">
        <v>873200</v>
      </c>
      <c r="D633" s="11">
        <v>873200</v>
      </c>
      <c r="E633" s="11">
        <v>873200</v>
      </c>
      <c r="F633" s="12">
        <f t="shared" ref="F633:F644" si="29">D633/C633</f>
        <v>1</v>
      </c>
      <c r="G633" s="12">
        <f t="shared" ref="G633:G644" si="30">D633/B633</f>
        <v>0.5</v>
      </c>
    </row>
    <row r="634" spans="1:7" x14ac:dyDescent="0.25">
      <c r="A634" s="15" t="s">
        <v>42</v>
      </c>
      <c r="B634" s="16">
        <v>1746400</v>
      </c>
      <c r="C634" s="16">
        <v>873200</v>
      </c>
      <c r="D634" s="16">
        <v>873200</v>
      </c>
      <c r="E634" s="16">
        <v>873200</v>
      </c>
      <c r="F634" s="17">
        <f t="shared" si="29"/>
        <v>1</v>
      </c>
      <c r="G634" s="17">
        <f t="shared" si="30"/>
        <v>0.5</v>
      </c>
    </row>
    <row r="635" spans="1:7" ht="24" x14ac:dyDescent="0.25">
      <c r="A635" s="10" t="s">
        <v>43</v>
      </c>
      <c r="B635" s="11">
        <v>1115100</v>
      </c>
      <c r="C635" s="11">
        <v>677550</v>
      </c>
      <c r="D635" s="11">
        <v>677550</v>
      </c>
      <c r="E635" s="11">
        <v>677550</v>
      </c>
      <c r="F635" s="12">
        <f t="shared" si="29"/>
        <v>1</v>
      </c>
      <c r="G635" s="12">
        <f t="shared" si="30"/>
        <v>0.60761366693570085</v>
      </c>
    </row>
    <row r="636" spans="1:7" x14ac:dyDescent="0.25">
      <c r="A636" s="15" t="s">
        <v>42</v>
      </c>
      <c r="B636" s="16">
        <v>1115100</v>
      </c>
      <c r="C636" s="16">
        <v>677550</v>
      </c>
      <c r="D636" s="16">
        <v>677550</v>
      </c>
      <c r="E636" s="16">
        <v>677550</v>
      </c>
      <c r="F636" s="17">
        <f t="shared" si="29"/>
        <v>1</v>
      </c>
      <c r="G636" s="17">
        <f t="shared" si="30"/>
        <v>0.60761366693570085</v>
      </c>
    </row>
    <row r="637" spans="1:7" ht="24" x14ac:dyDescent="0.25">
      <c r="A637" s="10" t="s">
        <v>29</v>
      </c>
      <c r="B637" s="11">
        <v>29826241</v>
      </c>
      <c r="C637" s="11">
        <v>17922051</v>
      </c>
      <c r="D637" s="11">
        <v>17922051</v>
      </c>
      <c r="E637" s="11">
        <v>16776714.800000001</v>
      </c>
      <c r="F637" s="12">
        <f t="shared" si="29"/>
        <v>1</v>
      </c>
      <c r="G637" s="12">
        <f t="shared" si="30"/>
        <v>0.60088198844768936</v>
      </c>
    </row>
    <row r="638" spans="1:7" x14ac:dyDescent="0.25">
      <c r="A638" s="15" t="s">
        <v>42</v>
      </c>
      <c r="B638" s="16">
        <v>29826241</v>
      </c>
      <c r="C638" s="16">
        <v>17922051</v>
      </c>
      <c r="D638" s="16">
        <v>17922051</v>
      </c>
      <c r="E638" s="16">
        <v>16776714.800000001</v>
      </c>
      <c r="F638" s="17">
        <f t="shared" si="29"/>
        <v>1</v>
      </c>
      <c r="G638" s="17">
        <f t="shared" si="30"/>
        <v>0.60088198844768936</v>
      </c>
    </row>
    <row r="639" spans="1:7" x14ac:dyDescent="0.25">
      <c r="A639" s="10" t="s">
        <v>46</v>
      </c>
      <c r="B639" s="11">
        <v>702100</v>
      </c>
      <c r="C639" s="11">
        <v>351050</v>
      </c>
      <c r="D639" s="11">
        <v>351050</v>
      </c>
      <c r="E639" s="11">
        <v>162997.4</v>
      </c>
      <c r="F639" s="12">
        <f t="shared" si="29"/>
        <v>1</v>
      </c>
      <c r="G639" s="12">
        <f t="shared" si="30"/>
        <v>0.5</v>
      </c>
    </row>
    <row r="640" spans="1:7" x14ac:dyDescent="0.25">
      <c r="A640" s="15" t="s">
        <v>42</v>
      </c>
      <c r="B640" s="16">
        <v>702100</v>
      </c>
      <c r="C640" s="16">
        <v>351050</v>
      </c>
      <c r="D640" s="16">
        <v>351050</v>
      </c>
      <c r="E640" s="16">
        <v>162997.4</v>
      </c>
      <c r="F640" s="17">
        <f t="shared" si="29"/>
        <v>1</v>
      </c>
      <c r="G640" s="17">
        <f t="shared" si="30"/>
        <v>0.5</v>
      </c>
    </row>
    <row r="641" spans="1:7" x14ac:dyDescent="0.25">
      <c r="A641" s="7" t="s">
        <v>74</v>
      </c>
      <c r="B641" s="8">
        <v>7846000</v>
      </c>
      <c r="C641" s="8">
        <v>1266000</v>
      </c>
      <c r="D641" s="8">
        <v>38500</v>
      </c>
      <c r="E641" s="8">
        <v>38500</v>
      </c>
      <c r="F641" s="9">
        <f t="shared" si="29"/>
        <v>3.0410742496050552E-2</v>
      </c>
      <c r="G641" s="9">
        <f t="shared" si="30"/>
        <v>4.9069589599796074E-3</v>
      </c>
    </row>
    <row r="642" spans="1:7" ht="24" x14ac:dyDescent="0.25">
      <c r="A642" s="10" t="s">
        <v>75</v>
      </c>
      <c r="B642" s="11">
        <v>7846000</v>
      </c>
      <c r="C642" s="11">
        <v>1266000</v>
      </c>
      <c r="D642" s="11">
        <v>38500</v>
      </c>
      <c r="E642" s="11">
        <v>38500</v>
      </c>
      <c r="F642" s="12">
        <f t="shared" si="29"/>
        <v>3.0410742496050552E-2</v>
      </c>
      <c r="G642" s="12">
        <f t="shared" si="30"/>
        <v>4.9069589599796074E-3</v>
      </c>
    </row>
    <row r="643" spans="1:7" ht="24" x14ac:dyDescent="0.25">
      <c r="A643" s="10" t="s">
        <v>76</v>
      </c>
      <c r="B643" s="11">
        <v>7846000</v>
      </c>
      <c r="C643" s="11">
        <v>1266000</v>
      </c>
      <c r="D643" s="11">
        <v>38500</v>
      </c>
      <c r="E643" s="11">
        <v>38500</v>
      </c>
      <c r="F643" s="12">
        <f t="shared" si="29"/>
        <v>3.0410742496050552E-2</v>
      </c>
      <c r="G643" s="12">
        <f t="shared" si="30"/>
        <v>4.9069589599796074E-3</v>
      </c>
    </row>
    <row r="644" spans="1:7" ht="24" x14ac:dyDescent="0.25">
      <c r="A644" s="15" t="s">
        <v>107</v>
      </c>
      <c r="B644" s="16">
        <v>846000</v>
      </c>
      <c r="C644" s="16">
        <v>266000</v>
      </c>
      <c r="D644" s="16">
        <v>38500</v>
      </c>
      <c r="E644" s="16">
        <v>38500</v>
      </c>
      <c r="F644" s="17">
        <f t="shared" si="29"/>
        <v>0.14473684210526316</v>
      </c>
      <c r="G644" s="17">
        <f t="shared" si="30"/>
        <v>4.550827423167849E-2</v>
      </c>
    </row>
    <row r="645" spans="1:7" x14ac:dyDescent="0.25">
      <c r="A645" s="15" t="s">
        <v>108</v>
      </c>
      <c r="B645" s="16">
        <v>7000000</v>
      </c>
      <c r="C645" s="16">
        <v>1000000</v>
      </c>
      <c r="D645" s="18"/>
      <c r="E645" s="18"/>
      <c r="F645" s="18"/>
      <c r="G645" s="18"/>
    </row>
    <row r="646" spans="1:7" x14ac:dyDescent="0.25">
      <c r="A646" s="7" t="s">
        <v>86</v>
      </c>
      <c r="B646" s="8">
        <v>8280000</v>
      </c>
      <c r="C646" s="22"/>
      <c r="D646" s="22"/>
      <c r="E646" s="22"/>
      <c r="F646" s="22"/>
      <c r="G646" s="22"/>
    </row>
    <row r="647" spans="1:7" x14ac:dyDescent="0.25">
      <c r="A647" s="10" t="s">
        <v>87</v>
      </c>
      <c r="B647" s="11">
        <v>3665000</v>
      </c>
      <c r="C647" s="21"/>
      <c r="D647" s="21"/>
      <c r="E647" s="21"/>
      <c r="F647" s="21"/>
      <c r="G647" s="21"/>
    </row>
    <row r="648" spans="1:7" ht="24" x14ac:dyDescent="0.25">
      <c r="A648" s="10" t="s">
        <v>31</v>
      </c>
      <c r="B648" s="11">
        <v>3665000</v>
      </c>
      <c r="C648" s="21"/>
      <c r="D648" s="21"/>
      <c r="E648" s="21"/>
      <c r="F648" s="21"/>
      <c r="G648" s="21"/>
    </row>
    <row r="649" spans="1:7" ht="24" x14ac:dyDescent="0.25">
      <c r="A649" s="15" t="s">
        <v>107</v>
      </c>
      <c r="B649" s="16">
        <v>1665000</v>
      </c>
      <c r="C649" s="18"/>
      <c r="D649" s="18"/>
      <c r="E649" s="18"/>
      <c r="F649" s="18"/>
      <c r="G649" s="18"/>
    </row>
    <row r="650" spans="1:7" x14ac:dyDescent="0.25">
      <c r="A650" s="15" t="s">
        <v>108</v>
      </c>
      <c r="B650" s="16">
        <v>2000000</v>
      </c>
      <c r="C650" s="18"/>
      <c r="D650" s="18"/>
      <c r="E650" s="18"/>
      <c r="F650" s="18"/>
      <c r="G650" s="18"/>
    </row>
    <row r="651" spans="1:7" ht="36" x14ac:dyDescent="0.25">
      <c r="A651" s="10" t="s">
        <v>88</v>
      </c>
      <c r="B651" s="11">
        <v>4300000</v>
      </c>
      <c r="C651" s="21"/>
      <c r="D651" s="21"/>
      <c r="E651" s="21"/>
      <c r="F651" s="21"/>
      <c r="G651" s="21"/>
    </row>
    <row r="652" spans="1:7" ht="24" x14ac:dyDescent="0.25">
      <c r="A652" s="10" t="s">
        <v>31</v>
      </c>
      <c r="B652" s="11">
        <v>4300000</v>
      </c>
      <c r="C652" s="21"/>
      <c r="D652" s="21"/>
      <c r="E652" s="21"/>
      <c r="F652" s="21"/>
      <c r="G652" s="21"/>
    </row>
    <row r="653" spans="1:7" ht="24" x14ac:dyDescent="0.25">
      <c r="A653" s="15" t="s">
        <v>107</v>
      </c>
      <c r="B653" s="16">
        <v>2000000</v>
      </c>
      <c r="C653" s="18"/>
      <c r="D653" s="18"/>
      <c r="E653" s="18"/>
      <c r="F653" s="18"/>
      <c r="G653" s="18"/>
    </row>
    <row r="654" spans="1:7" x14ac:dyDescent="0.25">
      <c r="A654" s="15" t="s">
        <v>108</v>
      </c>
      <c r="B654" s="16">
        <v>2300000</v>
      </c>
      <c r="C654" s="18"/>
      <c r="D654" s="18"/>
      <c r="E654" s="18"/>
      <c r="F654" s="18"/>
      <c r="G654" s="18"/>
    </row>
    <row r="655" spans="1:7" ht="24" x14ac:dyDescent="0.25">
      <c r="A655" s="10" t="s">
        <v>89</v>
      </c>
      <c r="B655" s="11">
        <v>315000</v>
      </c>
      <c r="C655" s="21"/>
      <c r="D655" s="21"/>
      <c r="E655" s="21"/>
      <c r="F655" s="21"/>
      <c r="G655" s="21"/>
    </row>
    <row r="656" spans="1:7" ht="24" x14ac:dyDescent="0.25">
      <c r="A656" s="10" t="s">
        <v>31</v>
      </c>
      <c r="B656" s="11">
        <v>315000</v>
      </c>
      <c r="C656" s="21"/>
      <c r="D656" s="21"/>
      <c r="E656" s="21"/>
      <c r="F656" s="21"/>
      <c r="G656" s="21"/>
    </row>
    <row r="657" spans="1:7" ht="24" x14ac:dyDescent="0.25">
      <c r="A657" s="15" t="s">
        <v>107</v>
      </c>
      <c r="B657" s="16">
        <v>315000</v>
      </c>
      <c r="C657" s="18"/>
      <c r="D657" s="18"/>
      <c r="E657" s="18"/>
      <c r="F657" s="18"/>
      <c r="G657" s="18"/>
    </row>
    <row r="658" spans="1:7" x14ac:dyDescent="0.25">
      <c r="A658" s="7" t="s">
        <v>91</v>
      </c>
      <c r="B658" s="8">
        <v>5100000</v>
      </c>
      <c r="C658" s="22"/>
      <c r="D658" s="22"/>
      <c r="E658" s="22"/>
      <c r="F658" s="22"/>
      <c r="G658" s="22"/>
    </row>
    <row r="659" spans="1:7" ht="36" x14ac:dyDescent="0.25">
      <c r="A659" s="10" t="s">
        <v>92</v>
      </c>
      <c r="B659" s="11">
        <v>5100000</v>
      </c>
      <c r="C659" s="21"/>
      <c r="D659" s="21"/>
      <c r="E659" s="21"/>
      <c r="F659" s="21"/>
      <c r="G659" s="21"/>
    </row>
    <row r="660" spans="1:7" x14ac:dyDescent="0.25">
      <c r="A660" s="10" t="s">
        <v>93</v>
      </c>
      <c r="B660" s="11">
        <v>5000000</v>
      </c>
      <c r="C660" s="21"/>
      <c r="D660" s="21"/>
      <c r="E660" s="21"/>
      <c r="F660" s="21"/>
      <c r="G660" s="21"/>
    </row>
    <row r="661" spans="1:7" x14ac:dyDescent="0.25">
      <c r="A661" s="15" t="s">
        <v>108</v>
      </c>
      <c r="B661" s="16">
        <v>5000000</v>
      </c>
      <c r="C661" s="18"/>
      <c r="D661" s="18"/>
      <c r="E661" s="18"/>
      <c r="F661" s="18"/>
      <c r="G661" s="18"/>
    </row>
    <row r="662" spans="1:7" x14ac:dyDescent="0.25">
      <c r="A662" s="10" t="s">
        <v>94</v>
      </c>
      <c r="B662" s="11">
        <v>100000</v>
      </c>
      <c r="C662" s="21"/>
      <c r="D662" s="21"/>
      <c r="E662" s="21"/>
      <c r="F662" s="21"/>
      <c r="G662" s="21"/>
    </row>
    <row r="663" spans="1:7" ht="24" x14ac:dyDescent="0.25">
      <c r="A663" s="15" t="s">
        <v>107</v>
      </c>
      <c r="B663" s="16">
        <v>100000</v>
      </c>
      <c r="C663" s="18"/>
      <c r="D663" s="18"/>
      <c r="E663" s="18"/>
      <c r="F663" s="18"/>
      <c r="G663" s="18"/>
    </row>
    <row r="664" spans="1:7" x14ac:dyDescent="0.25">
      <c r="A664" s="7" t="s">
        <v>98</v>
      </c>
      <c r="B664" s="8">
        <v>240670614</v>
      </c>
      <c r="C664" s="8">
        <v>21059228</v>
      </c>
      <c r="D664" s="8">
        <v>2781079.25</v>
      </c>
      <c r="E664" s="8">
        <v>2781079.25</v>
      </c>
      <c r="F664" s="9">
        <f t="shared" ref="F664" si="31">D664/C664</f>
        <v>0.13205988605090366</v>
      </c>
      <c r="G664" s="9">
        <f t="shared" ref="G664" si="32">D664/B664</f>
        <v>1.1555541425593405E-2</v>
      </c>
    </row>
    <row r="665" spans="1:7" ht="24" x14ac:dyDescent="0.25">
      <c r="A665" s="10" t="s">
        <v>99</v>
      </c>
      <c r="B665" s="11">
        <v>132153728</v>
      </c>
      <c r="C665" s="11">
        <v>15525600</v>
      </c>
      <c r="D665" s="21"/>
      <c r="E665" s="21"/>
      <c r="F665" s="21"/>
      <c r="G665" s="21"/>
    </row>
    <row r="666" spans="1:7" x14ac:dyDescent="0.25">
      <c r="A666" s="10" t="s">
        <v>114</v>
      </c>
      <c r="B666" s="11">
        <v>800000</v>
      </c>
      <c r="C666" s="21"/>
      <c r="D666" s="21"/>
      <c r="E666" s="21"/>
      <c r="F666" s="21"/>
      <c r="G666" s="21"/>
    </row>
    <row r="667" spans="1:7" ht="24" x14ac:dyDescent="0.25">
      <c r="A667" s="15" t="s">
        <v>115</v>
      </c>
      <c r="B667" s="16">
        <v>800000</v>
      </c>
      <c r="C667" s="18"/>
      <c r="D667" s="18"/>
      <c r="E667" s="18"/>
      <c r="F667" s="18"/>
      <c r="G667" s="18"/>
    </row>
    <row r="668" spans="1:7" x14ac:dyDescent="0.25">
      <c r="A668" s="10" t="s">
        <v>116</v>
      </c>
      <c r="B668" s="11">
        <v>1916700</v>
      </c>
      <c r="C668" s="21"/>
      <c r="D668" s="21"/>
      <c r="E668" s="21"/>
      <c r="F668" s="21"/>
      <c r="G668" s="21"/>
    </row>
    <row r="669" spans="1:7" ht="24" x14ac:dyDescent="0.25">
      <c r="A669" s="15" t="s">
        <v>115</v>
      </c>
      <c r="B669" s="16">
        <v>1916700</v>
      </c>
      <c r="C669" s="18"/>
      <c r="D669" s="18"/>
      <c r="E669" s="18"/>
      <c r="F669" s="18"/>
      <c r="G669" s="18"/>
    </row>
    <row r="670" spans="1:7" ht="24" x14ac:dyDescent="0.25">
      <c r="A670" s="10" t="s">
        <v>117</v>
      </c>
      <c r="B670" s="11">
        <v>1500000</v>
      </c>
      <c r="C670" s="21"/>
      <c r="D670" s="21"/>
      <c r="E670" s="21"/>
      <c r="F670" s="21"/>
      <c r="G670" s="21"/>
    </row>
    <row r="671" spans="1:7" ht="24" x14ac:dyDescent="0.25">
      <c r="A671" s="15" t="s">
        <v>115</v>
      </c>
      <c r="B671" s="16">
        <v>1500000</v>
      </c>
      <c r="C671" s="18"/>
      <c r="D671" s="18"/>
      <c r="E671" s="18"/>
      <c r="F671" s="18"/>
      <c r="G671" s="18"/>
    </row>
    <row r="672" spans="1:7" ht="24" x14ac:dyDescent="0.25">
      <c r="A672" s="10" t="s">
        <v>27</v>
      </c>
      <c r="B672" s="11">
        <v>196881</v>
      </c>
      <c r="C672" s="21"/>
      <c r="D672" s="21"/>
      <c r="E672" s="21"/>
      <c r="F672" s="21"/>
      <c r="G672" s="21"/>
    </row>
    <row r="673" spans="1:7" ht="24" x14ac:dyDescent="0.25">
      <c r="A673" s="15" t="s">
        <v>115</v>
      </c>
      <c r="B673" s="16">
        <v>196881</v>
      </c>
      <c r="C673" s="18"/>
      <c r="D673" s="18"/>
      <c r="E673" s="18"/>
      <c r="F673" s="18"/>
      <c r="G673" s="18"/>
    </row>
    <row r="674" spans="1:7" ht="36" x14ac:dyDescent="0.25">
      <c r="A674" s="10" t="s">
        <v>100</v>
      </c>
      <c r="B674" s="11">
        <v>122985300</v>
      </c>
      <c r="C674" s="11">
        <v>15525600</v>
      </c>
      <c r="D674" s="21"/>
      <c r="E674" s="21"/>
      <c r="F674" s="21"/>
      <c r="G674" s="21"/>
    </row>
    <row r="675" spans="1:7" ht="24" x14ac:dyDescent="0.25">
      <c r="A675" s="15" t="s">
        <v>115</v>
      </c>
      <c r="B675" s="16">
        <v>122985300</v>
      </c>
      <c r="C675" s="16">
        <v>15525600</v>
      </c>
      <c r="D675" s="18"/>
      <c r="E675" s="18"/>
      <c r="F675" s="18"/>
      <c r="G675" s="18"/>
    </row>
    <row r="676" spans="1:7" x14ac:dyDescent="0.25">
      <c r="A676" s="10" t="s">
        <v>118</v>
      </c>
      <c r="B676" s="11">
        <v>800000</v>
      </c>
      <c r="C676" s="21"/>
      <c r="D676" s="21"/>
      <c r="E676" s="21"/>
      <c r="F676" s="21"/>
      <c r="G676" s="21"/>
    </row>
    <row r="677" spans="1:7" ht="24" x14ac:dyDescent="0.25">
      <c r="A677" s="15" t="s">
        <v>115</v>
      </c>
      <c r="B677" s="16">
        <v>800000</v>
      </c>
      <c r="C677" s="18"/>
      <c r="D677" s="18"/>
      <c r="E677" s="18"/>
      <c r="F677" s="18"/>
      <c r="G677" s="18"/>
    </row>
    <row r="678" spans="1:7" x14ac:dyDescent="0.25">
      <c r="A678" s="10" t="s">
        <v>119</v>
      </c>
      <c r="B678" s="11">
        <v>425856</v>
      </c>
      <c r="C678" s="21"/>
      <c r="D678" s="21"/>
      <c r="E678" s="21"/>
      <c r="F678" s="21"/>
      <c r="G678" s="21"/>
    </row>
    <row r="679" spans="1:7" ht="24" x14ac:dyDescent="0.25">
      <c r="A679" s="15" t="s">
        <v>115</v>
      </c>
      <c r="B679" s="16">
        <v>425856</v>
      </c>
      <c r="C679" s="18"/>
      <c r="D679" s="18"/>
      <c r="E679" s="18"/>
      <c r="F679" s="18"/>
      <c r="G679" s="18"/>
    </row>
    <row r="680" spans="1:7" x14ac:dyDescent="0.25">
      <c r="A680" s="10" t="s">
        <v>120</v>
      </c>
      <c r="B680" s="11">
        <v>1604831</v>
      </c>
      <c r="C680" s="21"/>
      <c r="D680" s="21"/>
      <c r="E680" s="21"/>
      <c r="F680" s="21"/>
      <c r="G680" s="21"/>
    </row>
    <row r="681" spans="1:7" ht="24" x14ac:dyDescent="0.25">
      <c r="A681" s="15" t="s">
        <v>115</v>
      </c>
      <c r="B681" s="16">
        <v>1604831</v>
      </c>
      <c r="C681" s="18"/>
      <c r="D681" s="18"/>
      <c r="E681" s="18"/>
      <c r="F681" s="18"/>
      <c r="G681" s="18"/>
    </row>
    <row r="682" spans="1:7" x14ac:dyDescent="0.25">
      <c r="A682" s="10" t="s">
        <v>121</v>
      </c>
      <c r="B682" s="11">
        <v>1924160</v>
      </c>
      <c r="C682" s="21"/>
      <c r="D682" s="21"/>
      <c r="E682" s="21"/>
      <c r="F682" s="21"/>
      <c r="G682" s="21"/>
    </row>
    <row r="683" spans="1:7" ht="24" x14ac:dyDescent="0.25">
      <c r="A683" s="15" t="s">
        <v>115</v>
      </c>
      <c r="B683" s="16">
        <v>1924160</v>
      </c>
      <c r="C683" s="18"/>
      <c r="D683" s="18"/>
      <c r="E683" s="18"/>
      <c r="F683" s="18"/>
      <c r="G683" s="18"/>
    </row>
    <row r="684" spans="1:7" ht="24" x14ac:dyDescent="0.25">
      <c r="A684" s="10" t="s">
        <v>122</v>
      </c>
      <c r="B684" s="11">
        <v>68758146</v>
      </c>
      <c r="C684" s="21"/>
      <c r="D684" s="21"/>
      <c r="E684" s="21"/>
      <c r="F684" s="21"/>
      <c r="G684" s="21"/>
    </row>
    <row r="685" spans="1:7" ht="24" x14ac:dyDescent="0.25">
      <c r="A685" s="10" t="s">
        <v>123</v>
      </c>
      <c r="B685" s="11">
        <v>2024944</v>
      </c>
      <c r="C685" s="21"/>
      <c r="D685" s="21"/>
      <c r="E685" s="21"/>
      <c r="F685" s="21"/>
      <c r="G685" s="21"/>
    </row>
    <row r="686" spans="1:7" ht="24" x14ac:dyDescent="0.25">
      <c r="A686" s="15" t="s">
        <v>115</v>
      </c>
      <c r="B686" s="16">
        <v>2024944</v>
      </c>
      <c r="C686" s="18"/>
      <c r="D686" s="18"/>
      <c r="E686" s="18"/>
      <c r="F686" s="18"/>
      <c r="G686" s="18"/>
    </row>
    <row r="687" spans="1:7" ht="24" x14ac:dyDescent="0.25">
      <c r="A687" s="10" t="s">
        <v>124</v>
      </c>
      <c r="B687" s="11">
        <v>3187097</v>
      </c>
      <c r="C687" s="21"/>
      <c r="D687" s="21"/>
      <c r="E687" s="21"/>
      <c r="F687" s="21"/>
      <c r="G687" s="21"/>
    </row>
    <row r="688" spans="1:7" ht="24" x14ac:dyDescent="0.25">
      <c r="A688" s="15" t="s">
        <v>115</v>
      </c>
      <c r="B688" s="16">
        <v>3187097</v>
      </c>
      <c r="C688" s="18"/>
      <c r="D688" s="18"/>
      <c r="E688" s="18"/>
      <c r="F688" s="18"/>
      <c r="G688" s="18"/>
    </row>
    <row r="689" spans="1:7" ht="24" x14ac:dyDescent="0.25">
      <c r="A689" s="10" t="s">
        <v>125</v>
      </c>
      <c r="B689" s="11">
        <v>4927308</v>
      </c>
      <c r="C689" s="21"/>
      <c r="D689" s="21"/>
      <c r="E689" s="21"/>
      <c r="F689" s="21"/>
      <c r="G689" s="21"/>
    </row>
    <row r="690" spans="1:7" ht="24" x14ac:dyDescent="0.25">
      <c r="A690" s="15" t="s">
        <v>115</v>
      </c>
      <c r="B690" s="16">
        <v>4927308</v>
      </c>
      <c r="C690" s="18"/>
      <c r="D690" s="18"/>
      <c r="E690" s="18"/>
      <c r="F690" s="18"/>
      <c r="G690" s="18"/>
    </row>
    <row r="691" spans="1:7" ht="24" x14ac:dyDescent="0.25">
      <c r="A691" s="10" t="s">
        <v>126</v>
      </c>
      <c r="B691" s="11">
        <v>5476974</v>
      </c>
      <c r="C691" s="21"/>
      <c r="D691" s="21"/>
      <c r="E691" s="21"/>
      <c r="F691" s="21"/>
      <c r="G691" s="21"/>
    </row>
    <row r="692" spans="1:7" ht="24" x14ac:dyDescent="0.25">
      <c r="A692" s="15" t="s">
        <v>115</v>
      </c>
      <c r="B692" s="16">
        <v>5476974</v>
      </c>
      <c r="C692" s="18"/>
      <c r="D692" s="18"/>
      <c r="E692" s="18"/>
      <c r="F692" s="18"/>
      <c r="G692" s="18"/>
    </row>
    <row r="693" spans="1:7" x14ac:dyDescent="0.25">
      <c r="A693" s="10" t="s">
        <v>127</v>
      </c>
      <c r="B693" s="11">
        <v>4075500</v>
      </c>
      <c r="C693" s="21"/>
      <c r="D693" s="21"/>
      <c r="E693" s="21"/>
      <c r="F693" s="21"/>
      <c r="G693" s="21"/>
    </row>
    <row r="694" spans="1:7" ht="24" x14ac:dyDescent="0.25">
      <c r="A694" s="15" t="s">
        <v>115</v>
      </c>
      <c r="B694" s="16">
        <v>4075500</v>
      </c>
      <c r="C694" s="18"/>
      <c r="D694" s="18"/>
      <c r="E694" s="18"/>
      <c r="F694" s="18"/>
      <c r="G694" s="18"/>
    </row>
    <row r="695" spans="1:7" ht="36" x14ac:dyDescent="0.25">
      <c r="A695" s="10" t="s">
        <v>100</v>
      </c>
      <c r="B695" s="11">
        <v>40000000</v>
      </c>
      <c r="C695" s="21"/>
      <c r="D695" s="21"/>
      <c r="E695" s="21"/>
      <c r="F695" s="21"/>
      <c r="G695" s="21"/>
    </row>
    <row r="696" spans="1:7" ht="24" x14ac:dyDescent="0.25">
      <c r="A696" s="15" t="s">
        <v>115</v>
      </c>
      <c r="B696" s="16">
        <v>40000000</v>
      </c>
      <c r="C696" s="18"/>
      <c r="D696" s="18"/>
      <c r="E696" s="18"/>
      <c r="F696" s="18"/>
      <c r="G696" s="18"/>
    </row>
    <row r="697" spans="1:7" x14ac:dyDescent="0.25">
      <c r="A697" s="10" t="s">
        <v>118</v>
      </c>
      <c r="B697" s="11">
        <v>8550000</v>
      </c>
      <c r="C697" s="21"/>
      <c r="D697" s="21"/>
      <c r="E697" s="21"/>
      <c r="F697" s="21"/>
      <c r="G697" s="21"/>
    </row>
    <row r="698" spans="1:7" ht="24" x14ac:dyDescent="0.25">
      <c r="A698" s="15" t="s">
        <v>115</v>
      </c>
      <c r="B698" s="16">
        <v>8550000</v>
      </c>
      <c r="C698" s="18"/>
      <c r="D698" s="18"/>
      <c r="E698" s="18"/>
      <c r="F698" s="18"/>
      <c r="G698" s="18"/>
    </row>
    <row r="699" spans="1:7" x14ac:dyDescent="0.25">
      <c r="A699" s="10" t="s">
        <v>120</v>
      </c>
      <c r="B699" s="11">
        <v>516323</v>
      </c>
      <c r="C699" s="21"/>
      <c r="D699" s="21"/>
      <c r="E699" s="21"/>
      <c r="F699" s="21"/>
      <c r="G699" s="21"/>
    </row>
    <row r="700" spans="1:7" ht="24" x14ac:dyDescent="0.25">
      <c r="A700" s="15" t="s">
        <v>115</v>
      </c>
      <c r="B700" s="16">
        <v>516323</v>
      </c>
      <c r="C700" s="18"/>
      <c r="D700" s="18"/>
      <c r="E700" s="18"/>
      <c r="F700" s="18"/>
      <c r="G700" s="18"/>
    </row>
    <row r="701" spans="1:7" ht="24" x14ac:dyDescent="0.25">
      <c r="A701" s="10" t="s">
        <v>128</v>
      </c>
      <c r="B701" s="11">
        <v>7367256</v>
      </c>
      <c r="C701" s="11">
        <v>5533628</v>
      </c>
      <c r="D701" s="11">
        <v>2781079.25</v>
      </c>
      <c r="E701" s="11">
        <v>2781079.25</v>
      </c>
      <c r="F701" s="12">
        <f t="shared" ref="F701:F703" si="33">D701/C701</f>
        <v>0.5025779199469137</v>
      </c>
      <c r="G701" s="12">
        <f t="shared" ref="G701:G703" si="34">D701/B701</f>
        <v>0.37749187078608371</v>
      </c>
    </row>
    <row r="702" spans="1:7" ht="24" x14ac:dyDescent="0.25">
      <c r="A702" s="10" t="s">
        <v>27</v>
      </c>
      <c r="B702" s="11">
        <v>7367256</v>
      </c>
      <c r="C702" s="11">
        <v>5533628</v>
      </c>
      <c r="D702" s="11">
        <v>2781079.25</v>
      </c>
      <c r="E702" s="11">
        <v>2781079.25</v>
      </c>
      <c r="F702" s="12">
        <f t="shared" si="33"/>
        <v>0.5025779199469137</v>
      </c>
      <c r="G702" s="12">
        <f t="shared" si="34"/>
        <v>0.37749187078608371</v>
      </c>
    </row>
    <row r="703" spans="1:7" ht="24" x14ac:dyDescent="0.25">
      <c r="A703" s="15" t="s">
        <v>115</v>
      </c>
      <c r="B703" s="16">
        <v>7367256</v>
      </c>
      <c r="C703" s="16">
        <v>5533628</v>
      </c>
      <c r="D703" s="16">
        <v>2781079.25</v>
      </c>
      <c r="E703" s="16">
        <v>2781079.25</v>
      </c>
      <c r="F703" s="17">
        <f t="shared" si="33"/>
        <v>0.5025779199469137</v>
      </c>
      <c r="G703" s="17">
        <f t="shared" si="34"/>
        <v>0.37749187078608371</v>
      </c>
    </row>
    <row r="704" spans="1:7" ht="60" x14ac:dyDescent="0.25">
      <c r="A704" s="10" t="s">
        <v>129</v>
      </c>
      <c r="B704" s="11">
        <v>27600000</v>
      </c>
      <c r="C704" s="21"/>
      <c r="D704" s="21"/>
      <c r="E704" s="21"/>
      <c r="F704" s="21"/>
      <c r="G704" s="21"/>
    </row>
    <row r="705" spans="1:7" ht="24" x14ac:dyDescent="0.25">
      <c r="A705" s="10" t="s">
        <v>30</v>
      </c>
      <c r="B705" s="11">
        <v>27600000</v>
      </c>
      <c r="C705" s="21"/>
      <c r="D705" s="21"/>
      <c r="E705" s="21"/>
      <c r="F705" s="21"/>
      <c r="G705" s="21"/>
    </row>
    <row r="706" spans="1:7" x14ac:dyDescent="0.25">
      <c r="A706" s="15" t="s">
        <v>130</v>
      </c>
      <c r="B706" s="16">
        <v>27600000</v>
      </c>
      <c r="C706" s="18"/>
      <c r="D706" s="18"/>
      <c r="E706" s="18"/>
      <c r="F706" s="18"/>
      <c r="G706" s="18"/>
    </row>
    <row r="707" spans="1:7" ht="24" x14ac:dyDescent="0.25">
      <c r="A707" s="10" t="s">
        <v>131</v>
      </c>
      <c r="B707" s="11">
        <v>4791484</v>
      </c>
      <c r="C707" s="21"/>
      <c r="D707" s="21"/>
      <c r="E707" s="21"/>
      <c r="F707" s="21"/>
      <c r="G707" s="21"/>
    </row>
    <row r="708" spans="1:7" ht="24" x14ac:dyDescent="0.25">
      <c r="A708" s="10" t="s">
        <v>132</v>
      </c>
      <c r="B708" s="11">
        <v>1452264</v>
      </c>
      <c r="C708" s="21"/>
      <c r="D708" s="21"/>
      <c r="E708" s="21"/>
      <c r="F708" s="21"/>
      <c r="G708" s="21"/>
    </row>
    <row r="709" spans="1:7" ht="24" x14ac:dyDescent="0.25">
      <c r="A709" s="15" t="s">
        <v>115</v>
      </c>
      <c r="B709" s="16">
        <v>1452264</v>
      </c>
      <c r="C709" s="18"/>
      <c r="D709" s="18"/>
      <c r="E709" s="18"/>
      <c r="F709" s="18"/>
      <c r="G709" s="18"/>
    </row>
    <row r="710" spans="1:7" ht="24" x14ac:dyDescent="0.25">
      <c r="A710" s="10" t="s">
        <v>117</v>
      </c>
      <c r="B710" s="11">
        <v>1500000</v>
      </c>
      <c r="C710" s="21"/>
      <c r="D710" s="21"/>
      <c r="E710" s="21"/>
      <c r="F710" s="21"/>
      <c r="G710" s="21"/>
    </row>
    <row r="711" spans="1:7" ht="24" x14ac:dyDescent="0.25">
      <c r="A711" s="15" t="s">
        <v>115</v>
      </c>
      <c r="B711" s="16">
        <v>1500000</v>
      </c>
      <c r="C711" s="18"/>
      <c r="D711" s="18"/>
      <c r="E711" s="18"/>
      <c r="F711" s="18"/>
      <c r="G711" s="18"/>
    </row>
    <row r="712" spans="1:7" ht="24" x14ac:dyDescent="0.25">
      <c r="A712" s="10" t="s">
        <v>27</v>
      </c>
      <c r="B712" s="11">
        <v>340486</v>
      </c>
      <c r="C712" s="21"/>
      <c r="D712" s="21"/>
      <c r="E712" s="21"/>
      <c r="F712" s="21"/>
      <c r="G712" s="21"/>
    </row>
    <row r="713" spans="1:7" ht="24" x14ac:dyDescent="0.25">
      <c r="A713" s="15" t="s">
        <v>115</v>
      </c>
      <c r="B713" s="16">
        <v>340486</v>
      </c>
      <c r="C713" s="18"/>
      <c r="D713" s="18"/>
      <c r="E713" s="18"/>
      <c r="F713" s="18"/>
      <c r="G713" s="18"/>
    </row>
    <row r="714" spans="1:7" ht="24" x14ac:dyDescent="0.25">
      <c r="A714" s="10" t="s">
        <v>133</v>
      </c>
      <c r="B714" s="11">
        <v>1498734</v>
      </c>
      <c r="C714" s="21"/>
      <c r="D714" s="21"/>
      <c r="E714" s="21"/>
      <c r="F714" s="21"/>
      <c r="G714" s="21"/>
    </row>
    <row r="715" spans="1:7" ht="24" x14ac:dyDescent="0.25">
      <c r="A715" s="15" t="s">
        <v>115</v>
      </c>
      <c r="B715" s="16">
        <v>1498734</v>
      </c>
      <c r="C715" s="18"/>
      <c r="D715" s="18"/>
      <c r="E715" s="18"/>
      <c r="F715" s="18"/>
      <c r="G715" s="18"/>
    </row>
  </sheetData>
  <mergeCells count="7">
    <mergeCell ref="A1:G1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І ПІВРІЧЧЯ</vt:lpstr>
      <vt:lpstr>І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dcterms:created xsi:type="dcterms:W3CDTF">2025-07-01T11:09:45Z</dcterms:created>
  <dcterms:modified xsi:type="dcterms:W3CDTF">2025-07-01T13:35:24Z</dcterms:modified>
</cp:coreProperties>
</file>