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3256" windowHeight="12576" activeTab="1"/>
  </bookViews>
  <sheets>
    <sheet name="ЖКГ" sheetId="3" r:id="rId1"/>
    <sheet name="ОСВІТА, СОЦЗАХ" sheetId="2" r:id="rId2"/>
  </sheets>
  <definedNames>
    <definedName name="_xlnm.Print_Area" localSheetId="1">'ОСВІТА, СОЦЗАХ'!$A$1:$M$60</definedName>
  </definedNames>
  <calcPr calcId="162913" refMode="R1C1"/>
</workbook>
</file>

<file path=xl/calcChain.xml><?xml version="1.0" encoding="utf-8"?>
<calcChain xmlns="http://schemas.openxmlformats.org/spreadsheetml/2006/main">
  <c r="L76" i="3" l="1"/>
  <c r="I52" i="3"/>
  <c r="L158" i="3"/>
  <c r="L156" i="3"/>
  <c r="L157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55" i="3"/>
  <c r="G155" i="3"/>
  <c r="K155" i="3"/>
  <c r="I155" i="3"/>
  <c r="I174" i="3"/>
  <c r="I173" i="3"/>
  <c r="L144" i="3"/>
  <c r="C15" i="3" l="1"/>
  <c r="D15" i="3"/>
  <c r="E15" i="3"/>
  <c r="F15" i="3"/>
  <c r="L10" i="3" l="1"/>
  <c r="L8" i="3"/>
  <c r="L9" i="3"/>
  <c r="L11" i="3"/>
  <c r="L12" i="3"/>
  <c r="L13" i="3"/>
  <c r="L14" i="3"/>
  <c r="L16" i="3"/>
  <c r="L7" i="2"/>
  <c r="N228" i="3"/>
  <c r="M228" i="3"/>
  <c r="K228" i="3"/>
  <c r="J228" i="3"/>
  <c r="I228" i="3"/>
  <c r="H228" i="3"/>
  <c r="G228" i="3"/>
  <c r="Q227" i="3"/>
  <c r="M227" i="3"/>
  <c r="Q225" i="3"/>
  <c r="N218" i="3"/>
  <c r="Q217" i="3"/>
  <c r="H212" i="3"/>
  <c r="Q209" i="3"/>
  <c r="M209" i="3"/>
  <c r="O209" i="3" s="1"/>
  <c r="O208" i="3" s="1"/>
  <c r="O207" i="3" s="1"/>
  <c r="N208" i="3"/>
  <c r="N223" i="3" s="1"/>
  <c r="K208" i="3"/>
  <c r="K207" i="3" s="1"/>
  <c r="K223" i="3" s="1"/>
  <c r="K222" i="3" s="1"/>
  <c r="J208" i="3"/>
  <c r="J207" i="3" s="1"/>
  <c r="J223" i="3" s="1"/>
  <c r="J222" i="3" s="1"/>
  <c r="I208" i="3"/>
  <c r="I207" i="3" s="1"/>
  <c r="I223" i="3" s="1"/>
  <c r="I222" i="3" s="1"/>
  <c r="H208" i="3"/>
  <c r="H207" i="3" s="1"/>
  <c r="H223" i="3" s="1"/>
  <c r="H222" i="3" s="1"/>
  <c r="G208" i="3"/>
  <c r="G207" i="3" s="1"/>
  <c r="Q206" i="3"/>
  <c r="Q205" i="3"/>
  <c r="Q204" i="3"/>
  <c r="Q203" i="3"/>
  <c r="M203" i="3"/>
  <c r="O203" i="3" s="1"/>
  <c r="O202" i="3" s="1"/>
  <c r="O201" i="3" s="1"/>
  <c r="N202" i="3"/>
  <c r="N201" i="3" s="1"/>
  <c r="K202" i="3"/>
  <c r="K201" i="3" s="1"/>
  <c r="J202" i="3"/>
  <c r="J201" i="3" s="1"/>
  <c r="J221" i="3" s="1"/>
  <c r="J220" i="3" s="1"/>
  <c r="I202" i="3"/>
  <c r="H202" i="3"/>
  <c r="H201" i="3" s="1"/>
  <c r="H221" i="3" s="1"/>
  <c r="H220" i="3" s="1"/>
  <c r="G202" i="3"/>
  <c r="G201" i="3" s="1"/>
  <c r="I201" i="3"/>
  <c r="I221" i="3" s="1"/>
  <c r="I220" i="3" s="1"/>
  <c r="O200" i="3"/>
  <c r="L200" i="3"/>
  <c r="J200" i="3"/>
  <c r="Q200" i="3" s="1"/>
  <c r="O199" i="3"/>
  <c r="L199" i="3"/>
  <c r="J199" i="3"/>
  <c r="Q199" i="3" s="1"/>
  <c r="O198" i="3"/>
  <c r="L198" i="3"/>
  <c r="J198" i="3"/>
  <c r="Q198" i="3" s="1"/>
  <c r="O197" i="3"/>
  <c r="L197" i="3"/>
  <c r="J197" i="3"/>
  <c r="Q197" i="3" s="1"/>
  <c r="O196" i="3"/>
  <c r="L196" i="3"/>
  <c r="J196" i="3"/>
  <c r="Q196" i="3" s="1"/>
  <c r="O195" i="3"/>
  <c r="L195" i="3"/>
  <c r="J195" i="3"/>
  <c r="Q195" i="3" s="1"/>
  <c r="O194" i="3"/>
  <c r="L194" i="3"/>
  <c r="J194" i="3"/>
  <c r="Q194" i="3" s="1"/>
  <c r="O193" i="3"/>
  <c r="L193" i="3"/>
  <c r="J193" i="3"/>
  <c r="Q193" i="3" s="1"/>
  <c r="O192" i="3"/>
  <c r="L192" i="3"/>
  <c r="J192" i="3"/>
  <c r="Q192" i="3" s="1"/>
  <c r="O191" i="3"/>
  <c r="L191" i="3"/>
  <c r="J191" i="3"/>
  <c r="Q191" i="3" s="1"/>
  <c r="O190" i="3"/>
  <c r="L190" i="3"/>
  <c r="J190" i="3"/>
  <c r="Q190" i="3" s="1"/>
  <c r="O189" i="3"/>
  <c r="L189" i="3"/>
  <c r="J189" i="3"/>
  <c r="Q189" i="3" s="1"/>
  <c r="O188" i="3"/>
  <c r="L188" i="3"/>
  <c r="J188" i="3"/>
  <c r="I187" i="3"/>
  <c r="I186" i="3" s="1"/>
  <c r="H187" i="3"/>
  <c r="H186" i="3" s="1"/>
  <c r="H219" i="3" s="1"/>
  <c r="H218" i="3" s="1"/>
  <c r="O184" i="3"/>
  <c r="L184" i="3"/>
  <c r="H184" i="3"/>
  <c r="J184" i="3" s="1"/>
  <c r="Q184" i="3" s="1"/>
  <c r="O183" i="3"/>
  <c r="L183" i="3"/>
  <c r="I183" i="3"/>
  <c r="J183" i="3" s="1"/>
  <c r="O182" i="3"/>
  <c r="L182" i="3"/>
  <c r="J182" i="3"/>
  <c r="Q182" i="3" s="1"/>
  <c r="O181" i="3"/>
  <c r="L181" i="3"/>
  <c r="J181" i="3"/>
  <c r="Q181" i="3" s="1"/>
  <c r="O180" i="3"/>
  <c r="J180" i="3"/>
  <c r="G180" i="3"/>
  <c r="L180" i="3" s="1"/>
  <c r="O179" i="3"/>
  <c r="L179" i="3"/>
  <c r="J179" i="3"/>
  <c r="Q179" i="3" s="1"/>
  <c r="O178" i="3"/>
  <c r="L178" i="3"/>
  <c r="J178" i="3"/>
  <c r="Q178" i="3" s="1"/>
  <c r="N177" i="3"/>
  <c r="M177" i="3"/>
  <c r="K177" i="3"/>
  <c r="P176" i="3"/>
  <c r="M176" i="3"/>
  <c r="K176" i="3"/>
  <c r="P175" i="3"/>
  <c r="M175" i="3"/>
  <c r="K175" i="3"/>
  <c r="P174" i="3"/>
  <c r="M174" i="3"/>
  <c r="J174" i="3"/>
  <c r="P173" i="3"/>
  <c r="M173" i="3"/>
  <c r="J173" i="3"/>
  <c r="P172" i="3"/>
  <c r="M172" i="3"/>
  <c r="P171" i="3"/>
  <c r="M171" i="3"/>
  <c r="P170" i="3"/>
  <c r="M170" i="3"/>
  <c r="P169" i="3"/>
  <c r="M169" i="3"/>
  <c r="P168" i="3"/>
  <c r="M168" i="3"/>
  <c r="P167" i="3"/>
  <c r="M167" i="3"/>
  <c r="P166" i="3"/>
  <c r="M166" i="3"/>
  <c r="K166" i="3"/>
  <c r="P165" i="3"/>
  <c r="M165" i="3"/>
  <c r="K165" i="3"/>
  <c r="P164" i="3"/>
  <c r="M164" i="3"/>
  <c r="K164" i="3"/>
  <c r="P163" i="3"/>
  <c r="M163" i="3"/>
  <c r="P162" i="3"/>
  <c r="M162" i="3"/>
  <c r="P161" i="3"/>
  <c r="M161" i="3"/>
  <c r="P160" i="3"/>
  <c r="M160" i="3"/>
  <c r="P159" i="3"/>
  <c r="M159" i="3"/>
  <c r="P158" i="3"/>
  <c r="M158" i="3"/>
  <c r="P157" i="3"/>
  <c r="M157" i="3"/>
  <c r="P156" i="3"/>
  <c r="M156" i="3"/>
  <c r="N155" i="3"/>
  <c r="M155" i="3"/>
  <c r="H155" i="3"/>
  <c r="O154" i="3"/>
  <c r="L154" i="3"/>
  <c r="H154" i="3"/>
  <c r="J154" i="3" s="1"/>
  <c r="Q154" i="3" s="1"/>
  <c r="O153" i="3"/>
  <c r="L153" i="3"/>
  <c r="H153" i="3"/>
  <c r="J153" i="3" s="1"/>
  <c r="Q153" i="3" s="1"/>
  <c r="O152" i="3"/>
  <c r="L152" i="3"/>
  <c r="H152" i="3"/>
  <c r="J152" i="3" s="1"/>
  <c r="Q152" i="3" s="1"/>
  <c r="O151" i="3"/>
  <c r="K151" i="3"/>
  <c r="L151" i="3" s="1"/>
  <c r="I151" i="3"/>
  <c r="J151" i="3" s="1"/>
  <c r="Q151" i="3" s="1"/>
  <c r="O150" i="3"/>
  <c r="L150" i="3"/>
  <c r="H150" i="3"/>
  <c r="J150" i="3" s="1"/>
  <c r="Q150" i="3" s="1"/>
  <c r="O149" i="3"/>
  <c r="L149" i="3"/>
  <c r="H149" i="3"/>
  <c r="J149" i="3" s="1"/>
  <c r="Q149" i="3" s="1"/>
  <c r="O148" i="3"/>
  <c r="K148" i="3"/>
  <c r="I148" i="3"/>
  <c r="J148" i="3" s="1"/>
  <c r="Q148" i="3" s="1"/>
  <c r="O147" i="3"/>
  <c r="L147" i="3"/>
  <c r="J147" i="3"/>
  <c r="Q147" i="3" s="1"/>
  <c r="O146" i="3"/>
  <c r="L146" i="3"/>
  <c r="H146" i="3"/>
  <c r="J146" i="3" s="1"/>
  <c r="Q146" i="3" s="1"/>
  <c r="O145" i="3"/>
  <c r="L145" i="3"/>
  <c r="H145" i="3"/>
  <c r="J145" i="3" s="1"/>
  <c r="Q145" i="3" s="1"/>
  <c r="O144" i="3"/>
  <c r="H144" i="3"/>
  <c r="J144" i="3" s="1"/>
  <c r="O143" i="3"/>
  <c r="L143" i="3"/>
  <c r="J143" i="3"/>
  <c r="Q143" i="3" s="1"/>
  <c r="O142" i="3"/>
  <c r="L142" i="3"/>
  <c r="J142" i="3"/>
  <c r="Q142" i="3" s="1"/>
  <c r="O141" i="3"/>
  <c r="L141" i="3"/>
  <c r="J141" i="3"/>
  <c r="Q141" i="3" s="1"/>
  <c r="O140" i="3"/>
  <c r="L140" i="3"/>
  <c r="J140" i="3"/>
  <c r="Q140" i="3" s="1"/>
  <c r="O139" i="3"/>
  <c r="L139" i="3"/>
  <c r="J139" i="3"/>
  <c r="Q139" i="3" s="1"/>
  <c r="O138" i="3"/>
  <c r="L138" i="3"/>
  <c r="J138" i="3"/>
  <c r="Q138" i="3" s="1"/>
  <c r="O137" i="3"/>
  <c r="L137" i="3"/>
  <c r="J137" i="3"/>
  <c r="Q137" i="3" s="1"/>
  <c r="O136" i="3"/>
  <c r="L136" i="3"/>
  <c r="J136" i="3"/>
  <c r="Q136" i="3" s="1"/>
  <c r="O135" i="3"/>
  <c r="L135" i="3"/>
  <c r="J135" i="3"/>
  <c r="Q135" i="3" s="1"/>
  <c r="O134" i="3"/>
  <c r="L134" i="3"/>
  <c r="J134" i="3"/>
  <c r="Q134" i="3" s="1"/>
  <c r="O133" i="3"/>
  <c r="L133" i="3"/>
  <c r="J133" i="3"/>
  <c r="Q133" i="3" s="1"/>
  <c r="O132" i="3"/>
  <c r="L132" i="3"/>
  <c r="J132" i="3"/>
  <c r="Q132" i="3" s="1"/>
  <c r="O131" i="3"/>
  <c r="L131" i="3"/>
  <c r="J131" i="3"/>
  <c r="Q131" i="3" s="1"/>
  <c r="O130" i="3"/>
  <c r="L130" i="3"/>
  <c r="J130" i="3"/>
  <c r="Q130" i="3" s="1"/>
  <c r="O129" i="3"/>
  <c r="L129" i="3"/>
  <c r="J129" i="3"/>
  <c r="Q129" i="3" s="1"/>
  <c r="O128" i="3"/>
  <c r="L128" i="3"/>
  <c r="J128" i="3"/>
  <c r="Q128" i="3" s="1"/>
  <c r="O127" i="3"/>
  <c r="L127" i="3"/>
  <c r="J127" i="3"/>
  <c r="Q127" i="3" s="1"/>
  <c r="O126" i="3"/>
  <c r="L126" i="3"/>
  <c r="J126" i="3"/>
  <c r="Q126" i="3" s="1"/>
  <c r="O125" i="3"/>
  <c r="L125" i="3"/>
  <c r="J125" i="3"/>
  <c r="Q125" i="3" s="1"/>
  <c r="O124" i="3"/>
  <c r="L124" i="3"/>
  <c r="J124" i="3"/>
  <c r="Q124" i="3" s="1"/>
  <c r="O123" i="3"/>
  <c r="L123" i="3"/>
  <c r="J123" i="3"/>
  <c r="Q123" i="3" s="1"/>
  <c r="O122" i="3"/>
  <c r="L122" i="3"/>
  <c r="J122" i="3"/>
  <c r="Q122" i="3" s="1"/>
  <c r="O121" i="3"/>
  <c r="L121" i="3"/>
  <c r="J121" i="3"/>
  <c r="Q121" i="3" s="1"/>
  <c r="O120" i="3"/>
  <c r="L120" i="3"/>
  <c r="J120" i="3"/>
  <c r="Q120" i="3" s="1"/>
  <c r="O119" i="3"/>
  <c r="L119" i="3"/>
  <c r="J119" i="3"/>
  <c r="Q119" i="3" s="1"/>
  <c r="O118" i="3"/>
  <c r="L118" i="3"/>
  <c r="J118" i="3"/>
  <c r="Q118" i="3" s="1"/>
  <c r="O117" i="3"/>
  <c r="L117" i="3"/>
  <c r="J117" i="3"/>
  <c r="Q117" i="3" s="1"/>
  <c r="O116" i="3"/>
  <c r="L116" i="3"/>
  <c r="J116" i="3"/>
  <c r="Q116" i="3" s="1"/>
  <c r="O115" i="3"/>
  <c r="L115" i="3"/>
  <c r="J115" i="3"/>
  <c r="Q115" i="3" s="1"/>
  <c r="O114" i="3"/>
  <c r="L114" i="3"/>
  <c r="J114" i="3"/>
  <c r="Q114" i="3" s="1"/>
  <c r="O113" i="3"/>
  <c r="L113" i="3"/>
  <c r="J113" i="3"/>
  <c r="Q113" i="3" s="1"/>
  <c r="O112" i="3"/>
  <c r="L112" i="3"/>
  <c r="J112" i="3"/>
  <c r="Q112" i="3" s="1"/>
  <c r="O111" i="3"/>
  <c r="L111" i="3"/>
  <c r="J111" i="3"/>
  <c r="Q111" i="3" s="1"/>
  <c r="O110" i="3"/>
  <c r="L110" i="3"/>
  <c r="J110" i="3"/>
  <c r="Q110" i="3" s="1"/>
  <c r="O109" i="3"/>
  <c r="L109" i="3"/>
  <c r="J109" i="3"/>
  <c r="Q109" i="3" s="1"/>
  <c r="O108" i="3"/>
  <c r="L108" i="3"/>
  <c r="J108" i="3"/>
  <c r="Q108" i="3" s="1"/>
  <c r="O107" i="3"/>
  <c r="L107" i="3"/>
  <c r="J107" i="3"/>
  <c r="Q107" i="3" s="1"/>
  <c r="O106" i="3"/>
  <c r="L106" i="3"/>
  <c r="J106" i="3"/>
  <c r="Q106" i="3" s="1"/>
  <c r="O105" i="3"/>
  <c r="L105" i="3"/>
  <c r="J105" i="3"/>
  <c r="Q105" i="3" s="1"/>
  <c r="O104" i="3"/>
  <c r="L104" i="3"/>
  <c r="J104" i="3"/>
  <c r="Q104" i="3" s="1"/>
  <c r="O103" i="3"/>
  <c r="L103" i="3"/>
  <c r="J103" i="3"/>
  <c r="Q103" i="3" s="1"/>
  <c r="O102" i="3"/>
  <c r="L102" i="3"/>
  <c r="J102" i="3"/>
  <c r="Q102" i="3" s="1"/>
  <c r="O101" i="3"/>
  <c r="L101" i="3"/>
  <c r="J101" i="3"/>
  <c r="Q101" i="3" s="1"/>
  <c r="O100" i="3"/>
  <c r="L100" i="3"/>
  <c r="J100" i="3"/>
  <c r="Q100" i="3" s="1"/>
  <c r="O99" i="3"/>
  <c r="L99" i="3"/>
  <c r="J99" i="3"/>
  <c r="Q99" i="3" s="1"/>
  <c r="O98" i="3"/>
  <c r="L98" i="3"/>
  <c r="J98" i="3"/>
  <c r="Q98" i="3" s="1"/>
  <c r="O97" i="3"/>
  <c r="L97" i="3"/>
  <c r="J97" i="3"/>
  <c r="Q97" i="3" s="1"/>
  <c r="O96" i="3"/>
  <c r="L96" i="3"/>
  <c r="J96" i="3"/>
  <c r="Q96" i="3" s="1"/>
  <c r="O95" i="3"/>
  <c r="L95" i="3"/>
  <c r="J95" i="3"/>
  <c r="Q95" i="3" s="1"/>
  <c r="O94" i="3"/>
  <c r="L94" i="3"/>
  <c r="J94" i="3"/>
  <c r="Q94" i="3" s="1"/>
  <c r="O93" i="3"/>
  <c r="L93" i="3"/>
  <c r="J93" i="3"/>
  <c r="Q93" i="3" s="1"/>
  <c r="O92" i="3"/>
  <c r="L92" i="3"/>
  <c r="J92" i="3"/>
  <c r="Q92" i="3" s="1"/>
  <c r="O91" i="3"/>
  <c r="L91" i="3"/>
  <c r="J91" i="3"/>
  <c r="Q91" i="3" s="1"/>
  <c r="N90" i="3"/>
  <c r="O89" i="3"/>
  <c r="H89" i="3"/>
  <c r="J89" i="3" s="1"/>
  <c r="G89" i="3"/>
  <c r="L89" i="3" s="1"/>
  <c r="O88" i="3"/>
  <c r="H88" i="3"/>
  <c r="G88" i="3"/>
  <c r="L88" i="3" s="1"/>
  <c r="N87" i="3"/>
  <c r="M87" i="3"/>
  <c r="K87" i="3"/>
  <c r="I87" i="3"/>
  <c r="O86" i="3"/>
  <c r="L86" i="3"/>
  <c r="J86" i="3"/>
  <c r="Q86" i="3" s="1"/>
  <c r="O85" i="3"/>
  <c r="L85" i="3"/>
  <c r="J85" i="3"/>
  <c r="Q85" i="3" s="1"/>
  <c r="O84" i="3"/>
  <c r="L84" i="3"/>
  <c r="J84" i="3"/>
  <c r="Q84" i="3" s="1"/>
  <c r="O83" i="3"/>
  <c r="L83" i="3"/>
  <c r="J83" i="3"/>
  <c r="Q83" i="3" s="1"/>
  <c r="O82" i="3"/>
  <c r="L82" i="3"/>
  <c r="J82" i="3"/>
  <c r="Q82" i="3" s="1"/>
  <c r="O81" i="3"/>
  <c r="L81" i="3"/>
  <c r="J81" i="3"/>
  <c r="Q81" i="3" s="1"/>
  <c r="O80" i="3"/>
  <c r="H80" i="3"/>
  <c r="J80" i="3" s="1"/>
  <c r="G80" i="3"/>
  <c r="O79" i="3"/>
  <c r="L79" i="3"/>
  <c r="J79" i="3"/>
  <c r="Q79" i="3" s="1"/>
  <c r="O78" i="3"/>
  <c r="L78" i="3"/>
  <c r="J78" i="3"/>
  <c r="Q78" i="3" s="1"/>
  <c r="O77" i="3"/>
  <c r="L77" i="3"/>
  <c r="H77" i="3"/>
  <c r="J77" i="3" s="1"/>
  <c r="Q77" i="3" s="1"/>
  <c r="O76" i="3"/>
  <c r="J76" i="3"/>
  <c r="Q76" i="3" s="1"/>
  <c r="O75" i="3"/>
  <c r="L75" i="3"/>
  <c r="J75" i="3"/>
  <c r="Q75" i="3" s="1"/>
  <c r="O74" i="3"/>
  <c r="L74" i="3"/>
  <c r="J74" i="3"/>
  <c r="Q74" i="3" s="1"/>
  <c r="O73" i="3"/>
  <c r="L73" i="3"/>
  <c r="H73" i="3"/>
  <c r="O72" i="3"/>
  <c r="L72" i="3"/>
  <c r="J72" i="3"/>
  <c r="N71" i="3"/>
  <c r="K71" i="3"/>
  <c r="I71" i="3"/>
  <c r="O70" i="3"/>
  <c r="J70" i="3"/>
  <c r="G70" i="3"/>
  <c r="L70" i="3" s="1"/>
  <c r="O69" i="3"/>
  <c r="J69" i="3"/>
  <c r="G69" i="3"/>
  <c r="L69" i="3" s="1"/>
  <c r="O68" i="3"/>
  <c r="L68" i="3"/>
  <c r="J68" i="3"/>
  <c r="Q68" i="3" s="1"/>
  <c r="O67" i="3"/>
  <c r="L67" i="3"/>
  <c r="J67" i="3"/>
  <c r="Q67" i="3" s="1"/>
  <c r="O66" i="3"/>
  <c r="J66" i="3"/>
  <c r="G66" i="3"/>
  <c r="L66" i="3" s="1"/>
  <c r="O65" i="3"/>
  <c r="L65" i="3"/>
  <c r="I65" i="3"/>
  <c r="J65" i="3" s="1"/>
  <c r="Q65" i="3" s="1"/>
  <c r="O64" i="3"/>
  <c r="L64" i="3"/>
  <c r="J64" i="3"/>
  <c r="Q64" i="3" s="1"/>
  <c r="O63" i="3"/>
  <c r="H63" i="3"/>
  <c r="J63" i="3" s="1"/>
  <c r="G63" i="3"/>
  <c r="L63" i="3" s="1"/>
  <c r="O62" i="3"/>
  <c r="L62" i="3"/>
  <c r="H62" i="3"/>
  <c r="O61" i="3"/>
  <c r="L61" i="3"/>
  <c r="J61" i="3"/>
  <c r="Q61" i="3" s="1"/>
  <c r="O60" i="3"/>
  <c r="L60" i="3"/>
  <c r="J60" i="3"/>
  <c r="Q60" i="3" s="1"/>
  <c r="O59" i="3"/>
  <c r="L59" i="3"/>
  <c r="J59" i="3"/>
  <c r="Q59" i="3" s="1"/>
  <c r="O58" i="3"/>
  <c r="L58" i="3"/>
  <c r="J58" i="3"/>
  <c r="Q58" i="3" s="1"/>
  <c r="O57" i="3"/>
  <c r="L57" i="3"/>
  <c r="J57" i="3"/>
  <c r="Q57" i="3" s="1"/>
  <c r="O56" i="3"/>
  <c r="L56" i="3"/>
  <c r="J56" i="3"/>
  <c r="Q56" i="3" s="1"/>
  <c r="O55" i="3"/>
  <c r="L55" i="3"/>
  <c r="H55" i="3"/>
  <c r="J55" i="3" s="1"/>
  <c r="O54" i="3"/>
  <c r="L54" i="3"/>
  <c r="J54" i="3"/>
  <c r="Q54" i="3" s="1"/>
  <c r="O53" i="3"/>
  <c r="L53" i="3"/>
  <c r="J53" i="3"/>
  <c r="Q53" i="3" s="1"/>
  <c r="N52" i="3"/>
  <c r="M52" i="3"/>
  <c r="K52" i="3"/>
  <c r="Q51" i="3"/>
  <c r="M51" i="3"/>
  <c r="O51" i="3" s="1"/>
  <c r="O50" i="3" s="1"/>
  <c r="L51" i="3"/>
  <c r="N50" i="3"/>
  <c r="K50" i="3"/>
  <c r="J50" i="3"/>
  <c r="I50" i="3"/>
  <c r="H50" i="3"/>
  <c r="G50" i="3"/>
  <c r="Q48" i="3"/>
  <c r="M48" i="3"/>
  <c r="O48" i="3" s="1"/>
  <c r="O47" i="3" s="1"/>
  <c r="L48" i="3"/>
  <c r="N47" i="3"/>
  <c r="K47" i="3"/>
  <c r="J47" i="3"/>
  <c r="I47" i="3"/>
  <c r="H47" i="3"/>
  <c r="G47" i="3"/>
  <c r="Q46" i="3"/>
  <c r="M46" i="3"/>
  <c r="L46" i="3"/>
  <c r="S45" i="3"/>
  <c r="Q45" i="3"/>
  <c r="M45" i="3"/>
  <c r="O45" i="3" s="1"/>
  <c r="L45" i="3"/>
  <c r="N44" i="3"/>
  <c r="K44" i="3"/>
  <c r="J44" i="3"/>
  <c r="I44" i="3"/>
  <c r="H44" i="3"/>
  <c r="G44" i="3"/>
  <c r="Q41" i="3"/>
  <c r="M41" i="3"/>
  <c r="O41" i="3" s="1"/>
  <c r="L41" i="3"/>
  <c r="Q40" i="3"/>
  <c r="M40" i="3"/>
  <c r="O40" i="3" s="1"/>
  <c r="L40" i="3"/>
  <c r="Q39" i="3"/>
  <c r="M39" i="3"/>
  <c r="O39" i="3" s="1"/>
  <c r="L39" i="3"/>
  <c r="Q38" i="3"/>
  <c r="M38" i="3"/>
  <c r="O38" i="3" s="1"/>
  <c r="L38" i="3"/>
  <c r="Q37" i="3"/>
  <c r="M37" i="3"/>
  <c r="O37" i="3" s="1"/>
  <c r="L37" i="3"/>
  <c r="Q36" i="3"/>
  <c r="M36" i="3"/>
  <c r="O36" i="3" s="1"/>
  <c r="L36" i="3"/>
  <c r="Q35" i="3"/>
  <c r="M35" i="3"/>
  <c r="O35" i="3" s="1"/>
  <c r="L35" i="3"/>
  <c r="Q34" i="3"/>
  <c r="M34" i="3"/>
  <c r="O34" i="3" s="1"/>
  <c r="L34" i="3"/>
  <c r="Q33" i="3"/>
  <c r="M33" i="3"/>
  <c r="O33" i="3" s="1"/>
  <c r="L33" i="3"/>
  <c r="Q32" i="3"/>
  <c r="M32" i="3"/>
  <c r="O32" i="3" s="1"/>
  <c r="L32" i="3"/>
  <c r="Q31" i="3"/>
  <c r="M31" i="3"/>
  <c r="O31" i="3" s="1"/>
  <c r="L31" i="3"/>
  <c r="N30" i="3"/>
  <c r="K30" i="3"/>
  <c r="J30" i="3"/>
  <c r="I30" i="3"/>
  <c r="H30" i="3"/>
  <c r="G30" i="3"/>
  <c r="N29" i="3"/>
  <c r="K29" i="3"/>
  <c r="J29" i="3"/>
  <c r="I29" i="3"/>
  <c r="H29" i="3"/>
  <c r="G29" i="3"/>
  <c r="Q28" i="3"/>
  <c r="M28" i="3"/>
  <c r="O28" i="3" s="1"/>
  <c r="O27" i="3" s="1"/>
  <c r="L28" i="3"/>
  <c r="N27" i="3"/>
  <c r="K27" i="3"/>
  <c r="J27" i="3"/>
  <c r="I27" i="3"/>
  <c r="H27" i="3"/>
  <c r="G27" i="3"/>
  <c r="Q26" i="3"/>
  <c r="M26" i="3"/>
  <c r="O26" i="3" s="1"/>
  <c r="L26" i="3"/>
  <c r="Q25" i="3"/>
  <c r="M25" i="3"/>
  <c r="L25" i="3"/>
  <c r="N24" i="3"/>
  <c r="K24" i="3"/>
  <c r="J24" i="3"/>
  <c r="I24" i="3"/>
  <c r="H24" i="3"/>
  <c r="G24" i="3"/>
  <c r="O23" i="3"/>
  <c r="L23" i="3"/>
  <c r="J23" i="3"/>
  <c r="Q23" i="3" s="1"/>
  <c r="O22" i="3"/>
  <c r="L22" i="3"/>
  <c r="J22" i="3"/>
  <c r="Q22" i="3" s="1"/>
  <c r="N21" i="3"/>
  <c r="M21" i="3"/>
  <c r="K21" i="3"/>
  <c r="I21" i="3"/>
  <c r="H21" i="3"/>
  <c r="G21" i="3"/>
  <c r="L10" i="2"/>
  <c r="L11" i="2"/>
  <c r="L12" i="2"/>
  <c r="L8" i="2"/>
  <c r="L9" i="2"/>
  <c r="H12" i="2"/>
  <c r="I12" i="2"/>
  <c r="J12" i="2"/>
  <c r="K12" i="2"/>
  <c r="H11" i="2"/>
  <c r="I11" i="2"/>
  <c r="J11" i="2"/>
  <c r="K11" i="2"/>
  <c r="H10" i="2"/>
  <c r="I10" i="2"/>
  <c r="J10" i="2"/>
  <c r="K10" i="2"/>
  <c r="H9" i="2"/>
  <c r="I9" i="2"/>
  <c r="J9" i="2"/>
  <c r="K9" i="2"/>
  <c r="H8" i="2"/>
  <c r="I8" i="2"/>
  <c r="J8" i="2"/>
  <c r="K8" i="2"/>
  <c r="G8" i="2"/>
  <c r="G10" i="2"/>
  <c r="G9" i="2"/>
  <c r="G11" i="2"/>
  <c r="G12" i="2"/>
  <c r="M24" i="3" l="1"/>
  <c r="N43" i="3"/>
  <c r="Q50" i="3"/>
  <c r="N49" i="3"/>
  <c r="N42" i="3" s="1"/>
  <c r="O21" i="3"/>
  <c r="L24" i="3"/>
  <c r="N18" i="3"/>
  <c r="N213" i="3" s="1"/>
  <c r="I18" i="3"/>
  <c r="I213" i="3" s="1"/>
  <c r="H90" i="3"/>
  <c r="G18" i="3"/>
  <c r="G213" i="3" s="1"/>
  <c r="J43" i="3"/>
  <c r="G177" i="3"/>
  <c r="L177" i="3" s="1"/>
  <c r="L29" i="3"/>
  <c r="Q27" i="3"/>
  <c r="Q47" i="3"/>
  <c r="L47" i="3"/>
  <c r="H52" i="3"/>
  <c r="I90" i="3"/>
  <c r="L21" i="3"/>
  <c r="Q30" i="3"/>
  <c r="I43" i="3"/>
  <c r="H43" i="3"/>
  <c r="Q69" i="3"/>
  <c r="R71" i="3"/>
  <c r="O177" i="3"/>
  <c r="J21" i="3"/>
  <c r="J18" i="3" s="1"/>
  <c r="J213" i="3" s="1"/>
  <c r="Q213" i="3" s="1"/>
  <c r="L27" i="3"/>
  <c r="L30" i="3"/>
  <c r="L50" i="3"/>
  <c r="I177" i="3"/>
  <c r="K221" i="3"/>
  <c r="K220" i="3" s="1"/>
  <c r="K187" i="3"/>
  <c r="K186" i="3" s="1"/>
  <c r="K215" i="3" s="1"/>
  <c r="K214" i="3" s="1"/>
  <c r="K18" i="3"/>
  <c r="H18" i="3"/>
  <c r="H7" i="3" s="1"/>
  <c r="Q24" i="3"/>
  <c r="Q29" i="3"/>
  <c r="G43" i="3"/>
  <c r="K43" i="3"/>
  <c r="M44" i="3"/>
  <c r="J62" i="3"/>
  <c r="Q62" i="3" s="1"/>
  <c r="M71" i="3"/>
  <c r="H177" i="3"/>
  <c r="M202" i="3"/>
  <c r="M201" i="3" s="1"/>
  <c r="Q208" i="3"/>
  <c r="Q202" i="3"/>
  <c r="Q207" i="3"/>
  <c r="N207" i="3"/>
  <c r="N222" i="3" s="1"/>
  <c r="N221" i="3" s="1"/>
  <c r="G87" i="3"/>
  <c r="L87" i="3" s="1"/>
  <c r="Q89" i="3"/>
  <c r="O87" i="3"/>
  <c r="O187" i="3"/>
  <c r="O186" i="3" s="1"/>
  <c r="M208" i="3"/>
  <c r="M207" i="3" s="1"/>
  <c r="M223" i="3" s="1"/>
  <c r="M222" i="3" s="1"/>
  <c r="Q55" i="3"/>
  <c r="O30" i="3"/>
  <c r="O29" i="3"/>
  <c r="O25" i="3"/>
  <c r="O24" i="3" s="1"/>
  <c r="M27" i="3"/>
  <c r="M30" i="3"/>
  <c r="L44" i="3"/>
  <c r="Q44" i="3"/>
  <c r="O46" i="3"/>
  <c r="O44" i="3" s="1"/>
  <c r="O43" i="3" s="1"/>
  <c r="M47" i="3"/>
  <c r="M50" i="3"/>
  <c r="G52" i="3"/>
  <c r="L80" i="3"/>
  <c r="G71" i="3"/>
  <c r="L71" i="3" s="1"/>
  <c r="Q80" i="3"/>
  <c r="Q188" i="3"/>
  <c r="J187" i="3"/>
  <c r="J186" i="3" s="1"/>
  <c r="Q201" i="3"/>
  <c r="N220" i="3"/>
  <c r="N219" i="3" s="1"/>
  <c r="N187" i="3"/>
  <c r="N186" i="3" s="1"/>
  <c r="N215" i="3" s="1"/>
  <c r="N214" i="3" s="1"/>
  <c r="Q72" i="3"/>
  <c r="H87" i="3"/>
  <c r="J88" i="3"/>
  <c r="G90" i="3"/>
  <c r="J177" i="3"/>
  <c r="Q183" i="3"/>
  <c r="I219" i="3"/>
  <c r="I218" i="3" s="1"/>
  <c r="I215" i="3"/>
  <c r="I214" i="3" s="1"/>
  <c r="G187" i="3"/>
  <c r="K90" i="3"/>
  <c r="L148" i="3"/>
  <c r="M29" i="3"/>
  <c r="Q63" i="3"/>
  <c r="Q66" i="3"/>
  <c r="H71" i="3"/>
  <c r="J73" i="3"/>
  <c r="Q73" i="3" s="1"/>
  <c r="J90" i="3"/>
  <c r="Q144" i="3"/>
  <c r="Q70" i="3"/>
  <c r="Q180" i="3"/>
  <c r="H215" i="3"/>
  <c r="H214" i="3" s="1"/>
  <c r="G221" i="3"/>
  <c r="G223" i="3"/>
  <c r="Q8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K55" i="2"/>
  <c r="K44" i="2"/>
  <c r="N17" i="3" l="1"/>
  <c r="N212" i="3"/>
  <c r="N211" i="3" s="1"/>
  <c r="N210" i="3" s="1"/>
  <c r="N226" i="3" s="1"/>
  <c r="N229" i="3" s="1"/>
  <c r="J155" i="3"/>
  <c r="Q155" i="3" s="1"/>
  <c r="Q18" i="3"/>
  <c r="Q21" i="3"/>
  <c r="I49" i="3"/>
  <c r="I42" i="3" s="1"/>
  <c r="M43" i="3"/>
  <c r="H17" i="3"/>
  <c r="H15" i="3" s="1"/>
  <c r="L187" i="3"/>
  <c r="N7" i="3"/>
  <c r="K219" i="3"/>
  <c r="K218" i="3" s="1"/>
  <c r="L43" i="3"/>
  <c r="L18" i="3"/>
  <c r="K213" i="3"/>
  <c r="M18" i="3"/>
  <c r="M213" i="3" s="1"/>
  <c r="J52" i="3"/>
  <c r="Q52" i="3" s="1"/>
  <c r="M221" i="3"/>
  <c r="M220" i="3" s="1"/>
  <c r="M187" i="3"/>
  <c r="M186" i="3" s="1"/>
  <c r="H213" i="3"/>
  <c r="H211" i="3" s="1"/>
  <c r="H210" i="3" s="1"/>
  <c r="H226" i="3" s="1"/>
  <c r="H229" i="3" s="1"/>
  <c r="H49" i="3"/>
  <c r="O18" i="3"/>
  <c r="G220" i="3"/>
  <c r="Q220" i="3" s="1"/>
  <c r="Q221" i="3"/>
  <c r="J71" i="3"/>
  <c r="Q71" i="3" s="1"/>
  <c r="Q90" i="3"/>
  <c r="L52" i="3"/>
  <c r="G49" i="3"/>
  <c r="K49" i="3"/>
  <c r="L90" i="3"/>
  <c r="Q187" i="3"/>
  <c r="G186" i="3"/>
  <c r="J87" i="3"/>
  <c r="Q88" i="3"/>
  <c r="J215" i="3"/>
  <c r="J214" i="3" s="1"/>
  <c r="J219" i="3"/>
  <c r="J218" i="3" s="1"/>
  <c r="G222" i="3"/>
  <c r="Q223" i="3"/>
  <c r="M90" i="3"/>
  <c r="R8" i="2"/>
  <c r="Q9" i="2"/>
  <c r="R42" i="3" l="1"/>
  <c r="N216" i="3"/>
  <c r="H216" i="3"/>
  <c r="H224" i="3"/>
  <c r="J49" i="3"/>
  <c r="J42" i="3" s="1"/>
  <c r="J212" i="3" s="1"/>
  <c r="J211" i="3" s="1"/>
  <c r="J210" i="3" s="1"/>
  <c r="J226" i="3" s="1"/>
  <c r="J229" i="3" s="1"/>
  <c r="M219" i="3"/>
  <c r="M218" i="3" s="1"/>
  <c r="M215" i="3"/>
  <c r="M214" i="3" s="1"/>
  <c r="O90" i="3"/>
  <c r="O49" i="3" s="1"/>
  <c r="O42" i="3" s="1"/>
  <c r="O7" i="3" s="1"/>
  <c r="M49" i="3"/>
  <c r="M42" i="3" s="1"/>
  <c r="Q222" i="3"/>
  <c r="L49" i="3"/>
  <c r="K42" i="3"/>
  <c r="K7" i="3" s="1"/>
  <c r="G219" i="3"/>
  <c r="Q186" i="3"/>
  <c r="G215" i="3"/>
  <c r="L186" i="3"/>
  <c r="G42" i="3"/>
  <c r="I212" i="3"/>
  <c r="I211" i="3" s="1"/>
  <c r="I17" i="3"/>
  <c r="I15" i="3" s="1"/>
  <c r="I7" i="3"/>
  <c r="J7" i="3" l="1"/>
  <c r="J17" i="3"/>
  <c r="J15" i="3" s="1"/>
  <c r="Q49" i="3"/>
  <c r="G7" i="3"/>
  <c r="Q42" i="3"/>
  <c r="G17" i="3"/>
  <c r="G15" i="3" s="1"/>
  <c r="G212" i="3"/>
  <c r="G218" i="3"/>
  <c r="Q218" i="3" s="1"/>
  <c r="Q219" i="3"/>
  <c r="K212" i="3"/>
  <c r="K211" i="3" s="1"/>
  <c r="L42" i="3"/>
  <c r="K17" i="3"/>
  <c r="K15" i="3" s="1"/>
  <c r="I224" i="3"/>
  <c r="I216" i="3"/>
  <c r="I210" i="3"/>
  <c r="I226" i="3" s="1"/>
  <c r="I229" i="3" s="1"/>
  <c r="Q215" i="3"/>
  <c r="G214" i="3"/>
  <c r="M212" i="3"/>
  <c r="M211" i="3" s="1"/>
  <c r="M17" i="3"/>
  <c r="M7" i="3"/>
  <c r="J216" i="3"/>
  <c r="J224" i="3"/>
  <c r="Q7" i="3" l="1"/>
  <c r="L7" i="3"/>
  <c r="M224" i="3"/>
  <c r="M216" i="3"/>
  <c r="M210" i="3"/>
  <c r="M226" i="3" s="1"/>
  <c r="M229" i="3" s="1"/>
  <c r="K224" i="3"/>
  <c r="K216" i="3"/>
  <c r="K210" i="3"/>
  <c r="Q212" i="3"/>
  <c r="G211" i="3"/>
  <c r="G210" i="3" s="1"/>
  <c r="Q214" i="3"/>
  <c r="L17" i="3"/>
  <c r="L15" i="3" s="1"/>
  <c r="Q211" i="3" l="1"/>
  <c r="G224" i="3"/>
  <c r="Q224" i="3" s="1"/>
  <c r="G216" i="3"/>
  <c r="Q216" i="3" s="1"/>
  <c r="Q210" i="3"/>
  <c r="G226" i="3"/>
  <c r="K226" i="3"/>
  <c r="K229" i="3" s="1"/>
  <c r="L210" i="3"/>
  <c r="M59" i="2"/>
  <c r="G229" i="3" l="1"/>
  <c r="Q226" i="3"/>
  <c r="G57" i="2" l="1"/>
  <c r="M56" i="2"/>
  <c r="K56" i="2"/>
  <c r="J56" i="2"/>
  <c r="I56" i="2"/>
  <c r="H56" i="2"/>
  <c r="M54" i="2"/>
  <c r="K54" i="2"/>
  <c r="J54" i="2"/>
  <c r="I54" i="2"/>
  <c r="H54" i="2"/>
  <c r="M53" i="2" l="1"/>
  <c r="H53" i="2"/>
  <c r="I53" i="2"/>
  <c r="J53" i="2"/>
  <c r="K53" i="2"/>
  <c r="G54" i="2"/>
  <c r="G56" i="2"/>
  <c r="I36" i="2"/>
  <c r="J36" i="2"/>
  <c r="K36" i="2"/>
  <c r="M36" i="2"/>
  <c r="H36" i="2"/>
  <c r="G53" i="2" l="1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37" i="2"/>
  <c r="I13" i="2" l="1"/>
  <c r="J13" i="2"/>
  <c r="K13" i="2"/>
  <c r="M13" i="2"/>
  <c r="H13" i="2"/>
  <c r="G32" i="2"/>
  <c r="G33" i="2"/>
  <c r="G34" i="2"/>
  <c r="G35" i="2"/>
  <c r="G36" i="2"/>
  <c r="G31" i="2"/>
  <c r="G30" i="2"/>
  <c r="G29" i="2"/>
  <c r="G28" i="2"/>
  <c r="G27" i="2"/>
  <c r="G26" i="2"/>
  <c r="G25" i="2"/>
  <c r="G24" i="2"/>
  <c r="G23" i="2"/>
  <c r="G22" i="2"/>
  <c r="G15" i="2"/>
  <c r="G16" i="2"/>
  <c r="G17" i="2"/>
  <c r="G18" i="2"/>
  <c r="G19" i="2"/>
  <c r="G20" i="2"/>
  <c r="G21" i="2"/>
  <c r="G14" i="2"/>
  <c r="H58" i="2" l="1"/>
  <c r="H7" i="2"/>
  <c r="K58" i="2"/>
  <c r="K7" i="2"/>
  <c r="M58" i="2"/>
  <c r="M61" i="2" s="1"/>
  <c r="M7" i="2"/>
  <c r="J58" i="2"/>
  <c r="J7" i="2"/>
  <c r="I58" i="2"/>
  <c r="I7" i="2"/>
  <c r="G13" i="2"/>
  <c r="M60" i="2" l="1"/>
  <c r="G58" i="2"/>
  <c r="G7" i="2"/>
</calcChain>
</file>

<file path=xl/sharedStrings.xml><?xml version="1.0" encoding="utf-8"?>
<sst xmlns="http://schemas.openxmlformats.org/spreadsheetml/2006/main" count="439" uniqueCount="280">
  <si>
    <t>КФКВ</t>
  </si>
  <si>
    <t>Установа</t>
  </si>
  <si>
    <t>Напрямок</t>
  </si>
  <si>
    <t>КЕКВ</t>
  </si>
  <si>
    <t>Вид робіт</t>
  </si>
  <si>
    <t xml:space="preserve"> </t>
  </si>
  <si>
    <t>залишок асигнувань</t>
  </si>
  <si>
    <t>401101 довгострокові зобов"язання</t>
  </si>
  <si>
    <t>3103000 кошти від відчуження майна</t>
  </si>
  <si>
    <t>План</t>
  </si>
  <si>
    <t>Профінансовано</t>
  </si>
  <si>
    <t>0610</t>
  </si>
  <si>
    <t>Житлово-комунальне господарство</t>
  </si>
  <si>
    <t>( 6011+6015+6020)</t>
  </si>
  <si>
    <t>Капітальний ремонт житлового фонду                  УЖКГ (без участі власників)</t>
  </si>
  <si>
    <t>Капітальний ремонт</t>
  </si>
  <si>
    <t>3132</t>
  </si>
  <si>
    <t>Забезпечення надійного та безперебійного функціонування житлово-експлуатаційного господарства                                         УЖКГ</t>
  </si>
  <si>
    <t>Капітальний ремонт асфальтового покриття прибудинкових територій та між квартальних проїздів</t>
  </si>
  <si>
    <t>вул. Миколи Лаврухіна, 15/46</t>
  </si>
  <si>
    <t>вул.Бальзака, 8</t>
  </si>
  <si>
    <t>Облаштування ігрового майданчика</t>
  </si>
  <si>
    <t>Встановлення спортивного майданчика</t>
  </si>
  <si>
    <t>ГРОМАДСЬКІ ПРОЕКТИ 6011</t>
  </si>
  <si>
    <t>11 шт</t>
  </si>
  <si>
    <t>№ 1048 "ВОЛЕЙБОЛЬНИЙ МАЙДАНЧИК" НА ЦВЄТАЄВОЇ (Цветаєвої, 16А)</t>
  </si>
  <si>
    <t>№ 1326 МИЛОСЛАВИЧІ - СПОРТИВНІ, ЗДОРОВІ, ЩАСЛИВІ !!! (Закревського, 95-В)</t>
  </si>
  <si>
    <t>№ 1327 СПОРТИВНИЙ ТА СОЦІАЛЬНИЙ КОМПЛЕКС "РІЧКОВИК-2" (Закревського, 85)</t>
  </si>
  <si>
    <t>№ 133 ПЕРШИЙ РОЛЛЕДРОМ НА ЛІСОВОМУ (Курчатова, 3Б)</t>
  </si>
  <si>
    <t>№ 1397 БЛАГОУСТРІЙ ТА МОДЕРНІЗАЦІЯ ПРИБУДИНКОВОЇ ТЕРИТОРІЇ НА ВУЛ.ДАНЬКЕВИЧА 7-А</t>
  </si>
  <si>
    <t>№ 296 УНІВЕРСАЛЬНИЙ СПОРТМАЙДАНЧИК 15*28 м ЗА АДРЕСОЮ ВУЛ. МИЛОСЛАВСЬКА, 8</t>
  </si>
  <si>
    <t>№ 429 РЕКОНСТРУКЦІЯ ДИТЯЧОГО МАЙДАНЧИКА ЗА АДРЕСОЮ ВУЛ, БЕРЕТТІ, 5</t>
  </si>
  <si>
    <t>№ 479 СУЧАСНИЙ ІГРОВИЙ ТА ТРЕНАЖЕРНИЙ МАЙДАНЧИК ПО ВУЛ. СЕРЖА ЛИФАРЯ, 4</t>
  </si>
  <si>
    <t>№ 486 СУЧАСНЕ ФУТБОЛЬНЕ ПОЛЕ ЗА АДРЕСОЮ КУРЧАТОВА, 11</t>
  </si>
  <si>
    <t>№ 653 ОСУЧАСНЕННЯ ТРОЄЩИНСЬКИХ ЛИПОК, ЕТАП 2. СПОРТИВНИЙ ПРОСТІР ДЛЯ ДІТЕЙ ТА ДОРОСЛИХ (Градинська,11)</t>
  </si>
  <si>
    <r>
      <t>№ 988 ОБЛАШТУВАННЯ МІСЦЬ ДЛЯ СМІТТЄВИХ КОНТЕЙНЕРІВ М.КИЇВ, ВУЛ.</t>
    </r>
    <r>
      <rPr>
        <u/>
        <sz val="18"/>
        <rFont val="Times New Roman"/>
        <family val="1"/>
        <charset val="204"/>
      </rPr>
      <t>МИЛОСЛАВСЬКА, 12А</t>
    </r>
    <r>
      <rPr>
        <sz val="18"/>
        <rFont val="Times New Roman"/>
        <family val="1"/>
        <charset val="204"/>
      </rPr>
      <t>, 12</t>
    </r>
  </si>
  <si>
    <t>6011</t>
  </si>
  <si>
    <t>Капітальний ремонт житлового фонду                  УЖКГ (на умовах співфінансування)</t>
  </si>
  <si>
    <t>Капітальний ремонт на умовах співфінансування</t>
  </si>
  <si>
    <t>Капітальний ремонт  інженерні мережі (на умовах співфінансування) 70/30</t>
  </si>
  <si>
    <t>Капітальний ремонт інженерні мережі</t>
  </si>
  <si>
    <t>Капітальний ремонт електричні мережі (на умовах співфінансування) 85/15</t>
  </si>
  <si>
    <t>Капітальний ремонт електричні мережі</t>
  </si>
  <si>
    <t xml:space="preserve">Капітальний ремонт </t>
  </si>
  <si>
    <t xml:space="preserve">Капітальний ремонт житлового фонду                  УЖКГ </t>
  </si>
  <si>
    <t>Капітальний ремонт вхідні групи</t>
  </si>
  <si>
    <t>вул. Рональда Рейгана, 9</t>
  </si>
  <si>
    <t>КАПІТАЛЬНИЙ РЕМОНТ ЕЛЕКТРИЧНИХ МЕРЕЖ/ЕЛЕКТРОЩИТОВИХ (підготовка до опалювального сезону, енергозбереження) ЖБ</t>
  </si>
  <si>
    <t>просп.Червоної Калини, 4Б</t>
  </si>
  <si>
    <t>Бальзака, 38</t>
  </si>
  <si>
    <t>Бальзака, 40/11</t>
  </si>
  <si>
    <t>Беретті, 3</t>
  </si>
  <si>
    <t>Братиславська, 22</t>
  </si>
  <si>
    <t>Закревського, 19</t>
  </si>
  <si>
    <t>Кубаеської України, 39</t>
  </si>
  <si>
    <t>Кубаеської України, 41/28</t>
  </si>
  <si>
    <t>Лісовий, 15А</t>
  </si>
  <si>
    <t>Мілютенка, 16</t>
  </si>
  <si>
    <t>Рональда Рейгана, 11А</t>
  </si>
  <si>
    <t>Червоної Калини, 36/7</t>
  </si>
  <si>
    <t>Червоної Калини, 4А</t>
  </si>
  <si>
    <t>Червоної Калини, 71</t>
  </si>
  <si>
    <t>Червоної Калини, 93Б</t>
  </si>
  <si>
    <t>Капітальний ремонт житлового фонду                 УЖКГ</t>
  </si>
  <si>
    <t>КАПІТАЛЬНИЙ РЕМОНТ покрівель (підготовка до опалювального сезону, енергозбереження) ЖБ</t>
  </si>
  <si>
    <t>вул.Архітектора Ніколаєва, 13</t>
  </si>
  <si>
    <t>Бальзака, 54</t>
  </si>
  <si>
    <t>Бальзака, 61</t>
  </si>
  <si>
    <t>Бальзака, 63</t>
  </si>
  <si>
    <t>Бальзака, 77</t>
  </si>
  <si>
    <t>Закревського, 85</t>
  </si>
  <si>
    <t>Закревського, 87Б</t>
  </si>
  <si>
    <t>Лифаря, 11А</t>
  </si>
  <si>
    <t>Лифаря, 18</t>
  </si>
  <si>
    <t>Лісківська, 2/71</t>
  </si>
  <si>
    <t>Милославська, 17А</t>
  </si>
  <si>
    <t>Милославська, 21А</t>
  </si>
  <si>
    <t>Червоної Калини, 17Б</t>
  </si>
  <si>
    <t>Червоної Калини, 17В</t>
  </si>
  <si>
    <t>Червоної Калини, 69</t>
  </si>
  <si>
    <t>Милославська, 4А</t>
  </si>
  <si>
    <t>Милославська, 8А</t>
  </si>
  <si>
    <t>Бальзака, 100/31</t>
  </si>
  <si>
    <t>Бальзака, 20</t>
  </si>
  <si>
    <t>Бальзака, 44</t>
  </si>
  <si>
    <t>Бальзака, 52/22</t>
  </si>
  <si>
    <t>Бальзака, 55</t>
  </si>
  <si>
    <t>Бальзака, 88А</t>
  </si>
  <si>
    <t>Бальзака, 92А</t>
  </si>
  <si>
    <t>Бальзака, 98/29</t>
  </si>
  <si>
    <t>Беретті, 6Б</t>
  </si>
  <si>
    <t>Градинська, 14</t>
  </si>
  <si>
    <t>Градинська, 18</t>
  </si>
  <si>
    <t>Екстер, 10/87</t>
  </si>
  <si>
    <t>Екстер, 12</t>
  </si>
  <si>
    <t>Закревського, 17</t>
  </si>
  <si>
    <t>Закревського, 23</t>
  </si>
  <si>
    <t>Закревського, 5</t>
  </si>
  <si>
    <t>Закревського, 7</t>
  </si>
  <si>
    <t>Закревського, 91/1</t>
  </si>
  <si>
    <t>Каштанова, 15А</t>
  </si>
  <si>
    <t>Лаврухіна, 15/46</t>
  </si>
  <si>
    <t>Милославська, 23В</t>
  </si>
  <si>
    <t>Милославська, 25</t>
  </si>
  <si>
    <t>Милославська, 31Б</t>
  </si>
  <si>
    <t>Милославська, 45</t>
  </si>
  <si>
    <t>Ніколаєва, 15</t>
  </si>
  <si>
    <t>Ніколаєва, 15Б</t>
  </si>
  <si>
    <t>Ніколаєва, 3</t>
  </si>
  <si>
    <t>Ніколаєва, 3А</t>
  </si>
  <si>
    <t>Ніколаєва, 3Б</t>
  </si>
  <si>
    <t>Ніколаєва, 9</t>
  </si>
  <si>
    <t>Радунська, 1/10</t>
  </si>
  <si>
    <t>Радунська, 18А</t>
  </si>
  <si>
    <t>Радунська, 46Б</t>
  </si>
  <si>
    <t>Радунська, 9-А</t>
  </si>
  <si>
    <t>Радунська, 9-Б</t>
  </si>
  <si>
    <t>Рейгана, 20А</t>
  </si>
  <si>
    <t>Рейгана, 30А</t>
  </si>
  <si>
    <t>Рейгана, 4А</t>
  </si>
  <si>
    <t>Рейгана, 8А</t>
  </si>
  <si>
    <t>Рейгана, 9</t>
  </si>
  <si>
    <t>Рейгана, 9Д</t>
  </si>
  <si>
    <t>Червоної Калини, 12Б</t>
  </si>
  <si>
    <t>Червоної Калини, 14/13</t>
  </si>
  <si>
    <t>Червоної Калини, 15А</t>
  </si>
  <si>
    <t xml:space="preserve">Червоної Калини, 15Б </t>
  </si>
  <si>
    <t>Червоної Калини, 16\12</t>
  </si>
  <si>
    <t>Червоної Калини, 1А</t>
  </si>
  <si>
    <t>Червоної Калини, 1Б</t>
  </si>
  <si>
    <t>Червоної Калини, 2/1</t>
  </si>
  <si>
    <t>Червоної Калини, 46</t>
  </si>
  <si>
    <t>Червоної Калини, 7</t>
  </si>
  <si>
    <t>Бальзака, 14</t>
  </si>
  <si>
    <t>Бальзака, 54А</t>
  </si>
  <si>
    <t>Бальзака, 57</t>
  </si>
  <si>
    <t>Бальзака, 72/19</t>
  </si>
  <si>
    <t>Бальзака, 81/1</t>
  </si>
  <si>
    <t>Лаврухіна, 7</t>
  </si>
  <si>
    <t>Рейгена, 26</t>
  </si>
  <si>
    <t>Червоної калини 15B</t>
  </si>
  <si>
    <t>Червоної Калини, 17Д</t>
  </si>
  <si>
    <t>Червоної Калини, 44/10</t>
  </si>
  <si>
    <t>вул.Мілютенка, 28В</t>
  </si>
  <si>
    <t>просп.Червоної Калини, 7А</t>
  </si>
  <si>
    <t>Бальзака, 58</t>
  </si>
  <si>
    <t>Бальзака, 68</t>
  </si>
  <si>
    <t>Бальзака, 70</t>
  </si>
  <si>
    <t>Бальзака, 90</t>
  </si>
  <si>
    <t>Вигурівський, 3</t>
  </si>
  <si>
    <t>Вигурівський, 6</t>
  </si>
  <si>
    <t>Данькевича, 15</t>
  </si>
  <si>
    <t>Лісовий, 12А</t>
  </si>
  <si>
    <t>Лісовий, 18</t>
  </si>
  <si>
    <t>Мілютенка, 44</t>
  </si>
  <si>
    <t>Поповича, 12А</t>
  </si>
  <si>
    <t>Поповича, 2</t>
  </si>
  <si>
    <t>Поповича, 20</t>
  </si>
  <si>
    <t>Червоної Калини, 65</t>
  </si>
  <si>
    <t>Бальзака, 73</t>
  </si>
  <si>
    <t>Закревського, 33</t>
  </si>
  <si>
    <t>Каштанова, 14А</t>
  </si>
  <si>
    <t>Милославська, 47</t>
  </si>
  <si>
    <t>Радунська, 3А</t>
  </si>
  <si>
    <t>Червоної Калини, 72Б</t>
  </si>
  <si>
    <t>Шолом-Алейхема, 17А</t>
  </si>
  <si>
    <t>Забезпечення надійної та безперебійної експлуатації ліфтів</t>
  </si>
  <si>
    <t>Капремонт ліфтів на умовах співфінансування 95/5</t>
  </si>
  <si>
    <t>вул.Милославська, 32/51А (3під)</t>
  </si>
  <si>
    <t>Капремонт ліфтів на умовах співфінансування</t>
  </si>
  <si>
    <t>вул.Радунська, 11А (2під)</t>
  </si>
  <si>
    <t>вул.Бальзака,68</t>
  </si>
  <si>
    <t>вул.Каштанова, 12Б</t>
  </si>
  <si>
    <t>Беретті, 16
 (1шт: вант.)</t>
  </si>
  <si>
    <t>Бальзака, 46
 (1шт: вант.)</t>
  </si>
  <si>
    <t>Закревського, 13
(1шт)</t>
  </si>
  <si>
    <t>Лаврухіна, 5
(2шт: під.№2-пас, під.№2-вант.)</t>
  </si>
  <si>
    <t>Лісківська, 20
(1шт: під.№1-пас.)</t>
  </si>
  <si>
    <t>Милославська, 2
 (3шт: під.№1-вант., під.№2-вант., №3-вант.)</t>
  </si>
  <si>
    <t>Милославська, 4
(1шт: під.№3-вант.)</t>
  </si>
  <si>
    <t>Радунська, 32
 (2шт: пас, вант.)</t>
  </si>
  <si>
    <t>Червоної Калини, 46
 (2шт: під.№2-пас, під.№2-вант.)</t>
  </si>
  <si>
    <t>Капітальний ремонт (модернізація) індивідуальних теплових пунктів (ІТП) в житловому будинку</t>
  </si>
  <si>
    <t>10 шт</t>
  </si>
  <si>
    <t xml:space="preserve">Капремонт (модернізація) індивідуальних теплових пунктів </t>
  </si>
  <si>
    <t>Забезпечення функціонування під-в, уст та орг,що виробляють, виконують та/або надають житлово-комунальні послуги</t>
  </si>
  <si>
    <t>Бомбосховища</t>
  </si>
  <si>
    <t xml:space="preserve">капітальний ремонт об’єктів цивільного захисту </t>
  </si>
  <si>
    <t>Капітальний ремонт в т.ч.</t>
  </si>
  <si>
    <t>РАЗОМ</t>
  </si>
  <si>
    <t>Капітальний ремонт житлового фонду (УЖКГ)</t>
  </si>
  <si>
    <t>ВСЬОГО</t>
  </si>
  <si>
    <t xml:space="preserve">Капітальний ремонт інших обєктів (УЖКГ) </t>
  </si>
  <si>
    <t>Капітальний ремонт та заміна ліфтів</t>
  </si>
  <si>
    <t xml:space="preserve">Капремонт лічильників </t>
  </si>
  <si>
    <t>КК на бомбосховища</t>
  </si>
  <si>
    <t>СФ</t>
  </si>
  <si>
    <t>РАЗОМ (6011+6015+6016+6020)</t>
  </si>
  <si>
    <t>РАЗОМ (6011+6015+6017+6020)</t>
  </si>
  <si>
    <t>З/ф КЕРУЮЧА</t>
  </si>
  <si>
    <t>Бальзака, 10    профінансовано 20,08</t>
  </si>
  <si>
    <t>Лісківська, 5А  профінансовано 20.08</t>
  </si>
  <si>
    <t>Надання дошкільної освіти</t>
  </si>
  <si>
    <t>КАПІТАЛЬНИЙ РЕМОНТ БУДІВЕЛЬ ТА ПРИБУДИНКОВОЇ ТЕРИТОРІЇ</t>
  </si>
  <si>
    <t>ЗАМІНА ВІКОН</t>
  </si>
  <si>
    <t>Дошкільний навчальний заклад (ясла-садок) № 39 "Світанок" Деснянського району міста Києва, Вулиця Мілютенка, 44-А</t>
  </si>
  <si>
    <t>Дошкільний навчальний заклад (ясла-садок) № 781 Деснянського району міста Києва, Бульвар Висоцького Володимира, 3</t>
  </si>
  <si>
    <t>Дошкільний навчальний заклад (ясла-садок) № 797 Деснянського району міста Києва, Бульвар Бикова Леоніда, 3-А</t>
  </si>
  <si>
    <t>Дошкільний навчальний заклад (ясла-садок) № 744 Деснянського району міста Києва, Вулиця Закревського Миколи, 19-Б</t>
  </si>
  <si>
    <t>Дошкільний навчальний заклад № 782 Деснянського району міста Києва, Вулиця Лифаря Сержа, 16-А</t>
  </si>
  <si>
    <t>Дошкільний навчальний заклад (ясла-садок) № 15 "Едельвейс" Деснянського району міста Києва, Вулиця Бальзака Оноре де, 59</t>
  </si>
  <si>
    <t>КАПІТАЛЬНИЙ РЕМОНТ НАЙПРОСТІШИХ УКРИТТІВ ТА ЗАХИСНИХ СПОРУД ЦИВІЛЬНОГО ЗАХИСТУ</t>
  </si>
  <si>
    <t>капітальний ремонт</t>
  </si>
  <si>
    <t>Дошкільний навчальний заклад (ясла-садок) №34 "Оріяна" Деснянського району міста Києва, Вулиця Олександри Екстер, 14-А</t>
  </si>
  <si>
    <t>КАПІТАЛЬНИЙ РЕМОНТ ПОКРІВЕЛЬ</t>
  </si>
  <si>
    <t>Заклад дошкільної освіти (ясла-садок) № 91 "Діамант" Деснянського району міста Києва, Вулиця Радунська, 46-А</t>
  </si>
  <si>
    <t>Дошкільний навчальний заклад (ясла-садок) № 111 Деснянського району міста Києва, Вулиця Бальзака Оноре де, 55-А</t>
  </si>
  <si>
    <t>Дошкільний навчальний заклад (ясла-садок) № 165 Деснянського району міста Києва, Вулиця Будищанська, 4-А</t>
  </si>
  <si>
    <t>Дошкільний навчальний заклад (ясла-садок) № 459 Деснянського району міста Києва, Вулиця Будищанська, 5-А</t>
  </si>
  <si>
    <t>Дошкільний навчальний заклад (ясла-садок) № 491  комбінованого типу Деснянського району міста Києва, Вулиця Братиславська, 16-А</t>
  </si>
  <si>
    <t>Дошкільний навчальний заклад (ясла-садок) № 721 комбінованого типу Деснянського району міста Києва, Вулиця Милославська, 23-А</t>
  </si>
  <si>
    <t>Дошкільний навчальний заклад (ясла-садок) № 746 Деснянського району міста Києва, Вулиця Лифаря Сержа, 11-Б</t>
  </si>
  <si>
    <t>Дошкільний навчальний заклад (ясла-садок) № 758 Деснянського району міста Києва, Проспект Червоної Калини, 10-А</t>
  </si>
  <si>
    <t>Дошкільний навчальний заклад (ясла-садок) № 770 Деснянського району міста Києва, Вулиця Будищанська, 7-Б</t>
  </si>
  <si>
    <t>Дошкільний навчальний заклад (ясла-садок) № 784 Деснянського району міста Києва, Вулиця Бальзака Оноре де, 16-Б</t>
  </si>
  <si>
    <t>Дошкільний навчальний заклад (ясла-садок) № 796 Деснянського району міста Києва, Вулиця Данькевича Костянтина, 1-А</t>
  </si>
  <si>
    <t>Дошкільний навчальний заклад (ясла-садок) № 812 Деснянського району міста Києва, Проспект Червоної Калини, 62-Г</t>
  </si>
  <si>
    <t>Надання загальної середньої освіти закладами загальної середньої освіти за рахунок коштів місцевого бюджету</t>
  </si>
  <si>
    <t>Спеціалізована школа I-III ступенів № 152 з поглибленим вивченням англійської мови  Деснянського району міста Києва, Вулиця Ореста Левицького, 18/1</t>
  </si>
  <si>
    <t>Школа І-ІІІ ступенів № 190 Деснянського району міста Києва, Вулиця Шолом-Алейхема, 16-А</t>
  </si>
  <si>
    <t>Школа І-ІІІ ступенів № 192 Деснянського району  міста Києва, Вулиця Мілютенка, 5-Б</t>
  </si>
  <si>
    <t>Школа І-ІІІ ступенів № 212 Деснянського району міста Києва, Вулиця Ореста Левицького, 18/2</t>
  </si>
  <si>
    <t>Школа І-ІІІ ступенів № 218 Деснянського району міста Києва, Вулиця Ореста Левицького, 6-А</t>
  </si>
  <si>
    <t>Спеціалізована школа І-ІІІ ступенів № 251 імені Хо Ши Міна з поглибленим вивченням англійської мови Деснянського району міста Києва   , Вулиця Закревського Миколи, 11-А</t>
  </si>
  <si>
    <t>Школа І-ІІІ ступенів № 263 імені Євгена Коновальця  Деснянського району міста Києва, Вулиця Лифаря Сержа, 19-Б</t>
  </si>
  <si>
    <t>Школа І-ІІІ ступенів № 276 Деснянського району міста Києва  , Вулиця Лифаря Сержа, 14</t>
  </si>
  <si>
    <t>КАПІТАЛЬНИЙ РЕМОНТ БУДІВЕЛЬ</t>
  </si>
  <si>
    <t>Спеціалізована школа І-ІІІ ступенів № 277 з поглибленим вивченням англійської мови Деснянського району міста Києва , Вулиця Лифаря Сержа, 6</t>
  </si>
  <si>
    <t>Навчально-виховний комплекс "Дошкільний навчальний заклад (центр розвитку дитини)- школа I-II ступенів № 278" Деснянського району міста Києва , Вулиця Радосинська, 2-А</t>
  </si>
  <si>
    <t>Школа І-ІІІ ступенів № 282 Деснянського району міста Києва  , Вулиця Закревського Миколи, 65-А</t>
  </si>
  <si>
    <t>Ліцей № 293 Деснянського району міста Києва , Вулиця Милославська, 7</t>
  </si>
  <si>
    <t>Школа І-ІІІ ступенів № 306  Деснянського району міста Києва, Вулиця Лісківська, 4-А</t>
  </si>
  <si>
    <t>Спеціалізована школа І-ІІІ ступенів № 320 з поглибленим вивченням української мови Деснянського району міста Києва, Вулиця Будищанська, 8</t>
  </si>
  <si>
    <t>Створення та забезпечення діяльності спеціалізованих служб підтримки осіб, які постраждали від домашнього насильства та /або насильства за ознаками статі</t>
  </si>
  <si>
    <t>Капітальний ремонт приміщення Центру у справах сім'ї та жінок Деснянського району міста Києва вулиця Закревського Миколи 87-Д</t>
  </si>
  <si>
    <t>КАПІТАЛЬНИЙ РЕМОНТ ПРИМІЩЕННЯ</t>
  </si>
  <si>
    <t>Надання реабілітаційних послуг інвалідам та дітям-інвалідам</t>
  </si>
  <si>
    <t>Капітальний ремонт приміщення Центру комплексної реабілітації для осіб з інвалідністю Деснянського району міста Києва за адресою проспект Червоної Калини 10А</t>
  </si>
  <si>
    <r>
      <t>в тому числі з</t>
    </r>
    <r>
      <rPr>
        <b/>
        <u/>
        <sz val="24"/>
        <rFont val="Times New Roman"/>
        <family val="1"/>
        <charset val="204"/>
      </rPr>
      <t>а КФБ</t>
    </r>
  </si>
  <si>
    <t>602400 кошти що передаються із загального фонду до бюджету розвитку</t>
  </si>
  <si>
    <r>
      <rPr>
        <b/>
        <sz val="18"/>
        <rFont val="Times New Roman"/>
        <family val="1"/>
        <charset val="204"/>
      </rPr>
      <t xml:space="preserve">ВИКОНАНО </t>
    </r>
    <r>
      <rPr>
        <sz val="18"/>
        <rFont val="Times New Roman"/>
        <family val="1"/>
        <charset val="204"/>
      </rPr>
      <t>(касові видатки)</t>
    </r>
  </si>
  <si>
    <t>Разом сроц-культ. сфера (освіта, соцзахист)</t>
  </si>
  <si>
    <t>Уточнений ПЛАН на 2024 рік, ВСЬОГО, грн</t>
  </si>
  <si>
    <t>Уточнений ПЛАН на 2024 рік, ВСЬОГО,  грн</t>
  </si>
  <si>
    <t xml:space="preserve">  Разом ужг, спеціальний фонд</t>
  </si>
  <si>
    <t>загальний фонд, КК</t>
  </si>
  <si>
    <t>ВСЬОГО кпремонт (спеціальний фонд) по головному розпоряднику</t>
  </si>
  <si>
    <t>ОСВІТА</t>
  </si>
  <si>
    <t>СОЦІАЛЬНИЙ ЗАХИСТ</t>
  </si>
  <si>
    <t>Рональда Рейгана, 14/33</t>
  </si>
  <si>
    <t>Бальзака, 83/2</t>
  </si>
  <si>
    <t>Данькевича, 17</t>
  </si>
  <si>
    <t>% виконання</t>
  </si>
  <si>
    <t>Кількість об'єктів</t>
  </si>
  <si>
    <t xml:space="preserve">Оперативна інформація  щодо використання коштів спеціального фонду (бюджету розвитку)  Деснянського району міста Києва                                                                                                                                                                                                                                                                       за об'єктами   ЖИТЛОВЕ ГОСПОДАРСТВО станом на 26.08.2024 </t>
  </si>
  <si>
    <t xml:space="preserve">Оперативна інформація  щодо використання коштів спеціального фонду (бюджету розвитку)  Деснянського району міста Києва                                                                                                                                                                                                                                                                       за об'єктами   ОСВІТИ та СОЦІАЛЬНОГО ЗАХИСТУ станом на 26.08.2024 </t>
  </si>
  <si>
    <t>Капітальний ремонт асфальтового покриття</t>
  </si>
  <si>
    <t xml:space="preserve">Капітальний ремонт електричних мереж </t>
  </si>
  <si>
    <t>Капітальний ремонт покрівель</t>
  </si>
  <si>
    <t>Капітальний ремонт підвальних приміщень (укриття)</t>
  </si>
  <si>
    <t>Капітальний ремонт вхідних груп</t>
  </si>
  <si>
    <t>Заміна вікон та дверей</t>
  </si>
  <si>
    <t>Капітальний ремонт фасаду</t>
  </si>
  <si>
    <t>Капремонт ліфтів на умовах співфінансування 95/5 (13 адрес)</t>
  </si>
  <si>
    <t>Капітальний ремонт електричних мереж без участі співвласників</t>
  </si>
  <si>
    <t>Капітальний ремонт підвальних приміщень для використання під найпростіші укриття</t>
  </si>
  <si>
    <t>Капітальний ремонт вхідної групи</t>
  </si>
  <si>
    <t>Капітальний ремонт фасаду (підготовка до опалювального сезону) та енергозбереження) житлового будинку</t>
  </si>
  <si>
    <t>Капітальний ремонт житлового фонду                  УЖКГ</t>
  </si>
  <si>
    <t xml:space="preserve">Капітальний ремонт житлового фонду, разом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</si>
</sst>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8"/>
      <name val="Times New Roman"/>
      <family val="1"/>
      <charset val="204"/>
    </font>
    <font>
      <sz val="10"/>
      <name val="Arial Cyr"/>
      <charset val="204"/>
    </font>
    <font>
      <sz val="18"/>
      <name val="Arial Cyr"/>
      <charset val="204"/>
    </font>
    <font>
      <sz val="18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Arial Cyr"/>
      <charset val="204"/>
    </font>
    <font>
      <b/>
      <sz val="3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u/>
      <sz val="24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1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color theme="1"/>
      <name val="Arial Cyr"/>
      <charset val="204"/>
    </font>
    <font>
      <b/>
      <i/>
      <sz val="2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1" fillId="0" borderId="0"/>
  </cellStyleXfs>
  <cellXfs count="332">
    <xf numFmtId="0" fontId="0" fillId="0" borderId="0" xfId="0"/>
    <xf numFmtId="0" fontId="2" fillId="0" borderId="0" xfId="0" applyFont="1"/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5" fillId="0" borderId="0" xfId="0" applyNumberFormat="1" applyFont="1"/>
    <xf numFmtId="3" fontId="4" fillId="0" borderId="0" xfId="1" applyNumberFormat="1" applyFont="1" applyAlignment="1">
      <alignment horizontal="center" vertical="center" wrapText="1"/>
    </xf>
    <xf numFmtId="3" fontId="4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/>
    <xf numFmtId="0" fontId="6" fillId="0" borderId="5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9" fillId="0" borderId="0" xfId="2" applyFont="1"/>
    <xf numFmtId="4" fontId="4" fillId="0" borderId="5" xfId="1" applyNumberFormat="1" applyFont="1" applyBorder="1" applyAlignment="1">
      <alignment horizontal="center" vertical="center" wrapText="1"/>
    </xf>
    <xf numFmtId="4" fontId="6" fillId="0" borderId="5" xfId="0" applyNumberFormat="1" applyFont="1" applyBorder="1"/>
    <xf numFmtId="4" fontId="6" fillId="0" borderId="5" xfId="0" applyNumberFormat="1" applyFont="1" applyBorder="1" applyAlignment="1">
      <alignment wrapText="1"/>
    </xf>
    <xf numFmtId="1" fontId="6" fillId="0" borderId="5" xfId="0" applyNumberFormat="1" applyFont="1" applyBorder="1"/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/>
    <xf numFmtId="0" fontId="6" fillId="0" borderId="0" xfId="0" applyFont="1"/>
    <xf numFmtId="3" fontId="4" fillId="0" borderId="5" xfId="1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/>
    </xf>
    <xf numFmtId="3" fontId="5" fillId="0" borderId="5" xfId="0" applyNumberFormat="1" applyFont="1" applyBorder="1"/>
    <xf numFmtId="4" fontId="5" fillId="3" borderId="5" xfId="1" applyNumberFormat="1" applyFont="1" applyFill="1" applyBorder="1" applyAlignment="1">
      <alignment vertical="center" wrapText="1"/>
    </xf>
    <xf numFmtId="4" fontId="5" fillId="0" borderId="5" xfId="0" applyNumberFormat="1" applyFont="1" applyBorder="1" applyAlignment="1">
      <alignment horizontal="center"/>
    </xf>
    <xf numFmtId="4" fontId="6" fillId="0" borderId="9" xfId="0" applyNumberFormat="1" applyFont="1" applyBorder="1"/>
    <xf numFmtId="2" fontId="6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/>
    <xf numFmtId="0" fontId="5" fillId="0" borderId="5" xfId="0" applyFont="1" applyBorder="1" applyAlignment="1">
      <alignment vertical="center" wrapText="1"/>
    </xf>
    <xf numFmtId="4" fontId="5" fillId="0" borderId="5" xfId="1" applyNumberFormat="1" applyFont="1" applyBorder="1" applyAlignment="1">
      <alignment vertical="center" wrapText="1"/>
    </xf>
    <xf numFmtId="1" fontId="5" fillId="0" borderId="5" xfId="1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4" fontId="2" fillId="0" borderId="5" xfId="0" applyNumberFormat="1" applyFont="1" applyBorder="1"/>
    <xf numFmtId="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wrapText="1"/>
    </xf>
    <xf numFmtId="4" fontId="5" fillId="0" borderId="5" xfId="1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wrapText="1"/>
    </xf>
    <xf numFmtId="3" fontId="5" fillId="0" borderId="5" xfId="1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wrapText="1"/>
    </xf>
    <xf numFmtId="0" fontId="11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0" fontId="2" fillId="0" borderId="15" xfId="0" applyFont="1" applyBorder="1" applyAlignment="1">
      <alignment vertical="center" wrapText="1"/>
    </xf>
    <xf numFmtId="3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3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/>
    <xf numFmtId="0" fontId="2" fillId="0" borderId="8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wrapText="1"/>
    </xf>
    <xf numFmtId="1" fontId="6" fillId="0" borderId="5" xfId="0" applyNumberFormat="1" applyFont="1" applyBorder="1" applyAlignment="1">
      <alignment horizontal="center"/>
    </xf>
    <xf numFmtId="1" fontId="5" fillId="0" borderId="17" xfId="0" applyNumberFormat="1" applyFont="1" applyBorder="1"/>
    <xf numFmtId="49" fontId="5" fillId="0" borderId="14" xfId="1" applyNumberFormat="1" applyFont="1" applyBorder="1" applyAlignment="1">
      <alignment horizontal="center" vertical="center" wrapText="1"/>
    </xf>
    <xf numFmtId="49" fontId="4" fillId="0" borderId="17" xfId="1" applyNumberFormat="1" applyFont="1" applyBorder="1" applyAlignment="1">
      <alignment vertical="center" wrapText="1"/>
    </xf>
    <xf numFmtId="49" fontId="4" fillId="0" borderId="18" xfId="1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4" fillId="0" borderId="15" xfId="1" applyNumberFormat="1" applyFont="1" applyBorder="1" applyAlignment="1">
      <alignment vertical="center" wrapText="1"/>
    </xf>
    <xf numFmtId="49" fontId="4" fillId="0" borderId="6" xfId="1" applyNumberFormat="1" applyFont="1" applyBorder="1" applyAlignment="1">
      <alignment vertical="center" wrapText="1"/>
    </xf>
    <xf numFmtId="4" fontId="2" fillId="0" borderId="0" xfId="0" applyNumberFormat="1" applyFont="1" applyAlignment="1">
      <alignment horizontal="center"/>
    </xf>
    <xf numFmtId="0" fontId="9" fillId="0" borderId="0" xfId="2" applyFont="1" applyAlignment="1">
      <alignment horizontal="center" vertical="center" wrapText="1"/>
    </xf>
    <xf numFmtId="49" fontId="17" fillId="0" borderId="15" xfId="1" applyNumberFormat="1" applyFont="1" applyBorder="1" applyAlignment="1">
      <alignment vertical="center" wrapText="1"/>
    </xf>
    <xf numFmtId="49" fontId="17" fillId="0" borderId="6" xfId="1" applyNumberFormat="1" applyFont="1" applyBorder="1" applyAlignment="1">
      <alignment vertical="center" wrapText="1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2" applyFont="1"/>
    <xf numFmtId="0" fontId="18" fillId="0" borderId="0" xfId="0" applyFont="1"/>
    <xf numFmtId="49" fontId="20" fillId="0" borderId="6" xfId="1" applyNumberFormat="1" applyFont="1" applyBorder="1" applyAlignment="1">
      <alignment vertical="center" wrapText="1"/>
    </xf>
    <xf numFmtId="4" fontId="6" fillId="0" borderId="0" xfId="0" applyNumberFormat="1" applyFont="1" applyAlignment="1">
      <alignment horizontal="center"/>
    </xf>
    <xf numFmtId="49" fontId="4" fillId="0" borderId="6" xfId="1" applyNumberFormat="1" applyFont="1" applyBorder="1" applyAlignment="1">
      <alignment horizontal="right" vertical="center" wrapText="1"/>
    </xf>
    <xf numFmtId="0" fontId="10" fillId="0" borderId="0" xfId="0" applyFont="1"/>
    <xf numFmtId="1" fontId="10" fillId="0" borderId="0" xfId="0" applyNumberFormat="1" applyFont="1"/>
    <xf numFmtId="0" fontId="10" fillId="0" borderId="0" xfId="0" applyFont="1" applyAlignment="1">
      <alignment horizontal="center" vertical="center"/>
    </xf>
    <xf numFmtId="4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1" fontId="21" fillId="0" borderId="0" xfId="0" applyNumberFormat="1" applyFont="1"/>
    <xf numFmtId="164" fontId="5" fillId="0" borderId="9" xfId="1" applyNumberFormat="1" applyFont="1" applyBorder="1" applyAlignment="1">
      <alignment horizontal="center" vertical="center" wrapText="1"/>
    </xf>
    <xf numFmtId="1" fontId="5" fillId="0" borderId="9" xfId="1" applyNumberFormat="1" applyFont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4" fontId="4" fillId="0" borderId="9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" fontId="4" fillId="0" borderId="9" xfId="1" applyNumberFormat="1" applyFont="1" applyBorder="1" applyAlignment="1">
      <alignment horizontal="center" vertical="center" wrapText="1"/>
    </xf>
    <xf numFmtId="4" fontId="4" fillId="0" borderId="9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4" fontId="4" fillId="3" borderId="5" xfId="1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2" fillId="0" borderId="0" xfId="2" applyFont="1"/>
    <xf numFmtId="0" fontId="2" fillId="0" borderId="5" xfId="0" applyFont="1" applyBorder="1" applyAlignment="1">
      <alignment horizontal="center" vertical="center" wrapText="1"/>
    </xf>
    <xf numFmtId="0" fontId="28" fillId="2" borderId="12" xfId="1" applyFont="1" applyFill="1" applyBorder="1" applyAlignment="1">
      <alignment horizontal="center" vertical="center" wrapText="1"/>
    </xf>
    <xf numFmtId="4" fontId="29" fillId="0" borderId="5" xfId="0" applyNumberFormat="1" applyFont="1" applyBorder="1"/>
    <xf numFmtId="4" fontId="29" fillId="0" borderId="5" xfId="0" applyNumberFormat="1" applyFont="1" applyBorder="1" applyAlignment="1">
      <alignment wrapText="1"/>
    </xf>
    <xf numFmtId="4" fontId="4" fillId="0" borderId="5" xfId="2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wrapText="1"/>
    </xf>
    <xf numFmtId="1" fontId="2" fillId="0" borderId="5" xfId="0" applyNumberFormat="1" applyFont="1" applyBorder="1"/>
    <xf numFmtId="4" fontId="11" fillId="2" borderId="9" xfId="0" applyNumberFormat="1" applyFont="1" applyFill="1" applyBorder="1" applyAlignment="1">
      <alignment horizontal="center" vertical="center"/>
    </xf>
    <xf numFmtId="4" fontId="4" fillId="0" borderId="9" xfId="1" applyNumberFormat="1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3" fontId="5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/>
    </xf>
    <xf numFmtId="4" fontId="4" fillId="0" borderId="5" xfId="2" applyNumberFormat="1" applyFont="1" applyBorder="1" applyAlignment="1">
      <alignment horizontal="left" vertical="center" wrapText="1"/>
    </xf>
    <xf numFmtId="4" fontId="4" fillId="0" borderId="5" xfId="1" applyNumberFormat="1" applyFont="1" applyBorder="1" applyAlignment="1">
      <alignment vertical="center" wrapText="1"/>
    </xf>
    <xf numFmtId="1" fontId="4" fillId="0" borderId="5" xfId="1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4" fontId="4" fillId="2" borderId="5" xfId="1" applyNumberFormat="1" applyFont="1" applyFill="1" applyBorder="1" applyAlignment="1">
      <alignment horizontal="center" wrapText="1"/>
    </xf>
    <xf numFmtId="4" fontId="4" fillId="0" borderId="5" xfId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center" wrapText="1"/>
    </xf>
    <xf numFmtId="4" fontId="14" fillId="0" borderId="5" xfId="1" applyNumberFormat="1" applyFont="1" applyBorder="1" applyAlignment="1">
      <alignment horizontal="center" wrapText="1"/>
    </xf>
    <xf numFmtId="4" fontId="5" fillId="2" borderId="5" xfId="1" applyNumberFormat="1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center" wrapText="1"/>
    </xf>
    <xf numFmtId="4" fontId="4" fillId="0" borderId="5" xfId="0" applyNumberFormat="1" applyFont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center" wrapText="1"/>
    </xf>
    <xf numFmtId="4" fontId="11" fillId="2" borderId="9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4" fontId="4" fillId="2" borderId="5" xfId="1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/>
    </xf>
    <xf numFmtId="3" fontId="11" fillId="2" borderId="13" xfId="0" applyNumberFormat="1" applyFont="1" applyFill="1" applyBorder="1" applyAlignment="1">
      <alignment horizontal="center"/>
    </xf>
    <xf numFmtId="3" fontId="11" fillId="2" borderId="13" xfId="0" applyNumberFormat="1" applyFont="1" applyFill="1" applyBorder="1" applyAlignment="1">
      <alignment horizontal="center" vertical="center" wrapText="1"/>
    </xf>
    <xf numFmtId="3" fontId="2" fillId="2" borderId="5" xfId="3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5" fillId="2" borderId="16" xfId="0" applyNumberFormat="1" applyFont="1" applyFill="1" applyBorder="1" applyAlignment="1">
      <alignment horizontal="center" wrapText="1"/>
    </xf>
    <xf numFmtId="4" fontId="5" fillId="0" borderId="16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center"/>
    </xf>
    <xf numFmtId="4" fontId="5" fillId="0" borderId="9" xfId="1" applyNumberFormat="1" applyFont="1" applyBorder="1" applyAlignment="1">
      <alignment horizontal="center" wrapText="1"/>
    </xf>
    <xf numFmtId="49" fontId="17" fillId="0" borderId="9" xfId="1" applyNumberFormat="1" applyFont="1" applyBorder="1" applyAlignment="1">
      <alignment horizontal="center" vertical="center" wrapText="1"/>
    </xf>
    <xf numFmtId="4" fontId="17" fillId="2" borderId="9" xfId="1" applyNumberFormat="1" applyFont="1" applyFill="1" applyBorder="1" applyAlignment="1">
      <alignment horizontal="center" wrapText="1"/>
    </xf>
    <xf numFmtId="4" fontId="17" fillId="0" borderId="9" xfId="1" applyNumberFormat="1" applyFont="1" applyBorder="1" applyAlignment="1">
      <alignment horizontal="center" wrapText="1"/>
    </xf>
    <xf numFmtId="49" fontId="14" fillId="0" borderId="5" xfId="1" applyNumberFormat="1" applyFont="1" applyBorder="1" applyAlignment="1">
      <alignment horizontal="center" vertical="center" wrapText="1"/>
    </xf>
    <xf numFmtId="1" fontId="17" fillId="0" borderId="5" xfId="1" applyNumberFormat="1" applyFont="1" applyBorder="1" applyAlignment="1">
      <alignment horizontal="center" vertical="center" wrapText="1"/>
    </xf>
    <xf numFmtId="4" fontId="17" fillId="2" borderId="5" xfId="1" applyNumberFormat="1" applyFont="1" applyFill="1" applyBorder="1" applyAlignment="1">
      <alignment horizontal="center" wrapText="1"/>
    </xf>
    <xf numFmtId="4" fontId="17" fillId="0" borderId="5" xfId="1" applyNumberFormat="1" applyFont="1" applyBorder="1" applyAlignment="1">
      <alignment horizontal="center" wrapText="1"/>
    </xf>
    <xf numFmtId="1" fontId="14" fillId="0" borderId="5" xfId="1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wrapText="1"/>
    </xf>
    <xf numFmtId="4" fontId="14" fillId="2" borderId="5" xfId="1" applyNumberFormat="1" applyFont="1" applyFill="1" applyBorder="1" applyAlignment="1">
      <alignment horizontal="center" wrapText="1"/>
    </xf>
    <xf numFmtId="49" fontId="17" fillId="0" borderId="5" xfId="1" applyNumberFormat="1" applyFont="1" applyBorder="1" applyAlignment="1">
      <alignment horizontal="center" wrapText="1"/>
    </xf>
    <xf numFmtId="49" fontId="17" fillId="0" borderId="5" xfId="1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" fontId="10" fillId="2" borderId="0" xfId="0" applyNumberFormat="1" applyFont="1" applyFill="1" applyAlignment="1">
      <alignment horizontal="center"/>
    </xf>
    <xf numFmtId="4" fontId="10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4" fontId="4" fillId="4" borderId="9" xfId="1" applyNumberFormat="1" applyFont="1" applyFill="1" applyBorder="1" applyAlignment="1">
      <alignment horizontal="center" vertical="center" wrapText="1"/>
    </xf>
    <xf numFmtId="4" fontId="5" fillId="4" borderId="9" xfId="1" applyNumberFormat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center" vertical="center" wrapText="1"/>
    </xf>
    <xf numFmtId="4" fontId="4" fillId="4" borderId="5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/>
    <xf numFmtId="0" fontId="30" fillId="0" borderId="0" xfId="0" applyFont="1"/>
    <xf numFmtId="0" fontId="30" fillId="0" borderId="0" xfId="0" applyFont="1" applyAlignment="1">
      <alignment horizontal="center" vertical="center" wrapText="1"/>
    </xf>
    <xf numFmtId="0" fontId="30" fillId="0" borderId="5" xfId="0" applyFont="1" applyBorder="1"/>
    <xf numFmtId="0" fontId="30" fillId="0" borderId="5" xfId="0" applyFont="1" applyBorder="1" applyAlignment="1">
      <alignment horizontal="center" vertical="center" wrapText="1"/>
    </xf>
    <xf numFmtId="1" fontId="30" fillId="0" borderId="5" xfId="0" applyNumberFormat="1" applyFont="1" applyBorder="1"/>
    <xf numFmtId="4" fontId="30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center"/>
    </xf>
    <xf numFmtId="4" fontId="30" fillId="4" borderId="5" xfId="0" applyNumberFormat="1" applyFont="1" applyFill="1" applyBorder="1" applyAlignment="1">
      <alignment horizontal="center"/>
    </xf>
    <xf numFmtId="0" fontId="21" fillId="0" borderId="0" xfId="0" applyFont="1"/>
    <xf numFmtId="0" fontId="31" fillId="0" borderId="5" xfId="0" applyFont="1" applyBorder="1" applyAlignment="1">
      <alignment horizontal="left" vertical="center" wrapText="1"/>
    </xf>
    <xf numFmtId="4" fontId="30" fillId="2" borderId="5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6" fillId="0" borderId="5" xfId="0" applyFont="1" applyBorder="1"/>
    <xf numFmtId="4" fontId="6" fillId="4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4" fontId="32" fillId="4" borderId="5" xfId="0" applyNumberFormat="1" applyFont="1" applyFill="1" applyBorder="1" applyAlignment="1">
      <alignment horizontal="center"/>
    </xf>
    <xf numFmtId="164" fontId="25" fillId="0" borderId="9" xfId="1" applyNumberFormat="1" applyFont="1" applyBorder="1" applyAlignment="1">
      <alignment horizontal="center" vertical="center" wrapText="1"/>
    </xf>
    <xf numFmtId="164" fontId="24" fillId="3" borderId="8" xfId="1" applyNumberFormat="1" applyFont="1" applyFill="1" applyBorder="1" applyAlignment="1">
      <alignment horizontal="center" vertical="center" wrapText="1"/>
    </xf>
    <xf numFmtId="164" fontId="24" fillId="3" borderId="9" xfId="1" applyNumberFormat="1" applyFont="1" applyFill="1" applyBorder="1" applyAlignment="1">
      <alignment horizontal="center" vertical="center" wrapText="1"/>
    </xf>
    <xf numFmtId="164" fontId="25" fillId="3" borderId="9" xfId="1" applyNumberFormat="1" applyFont="1" applyFill="1" applyBorder="1" applyAlignment="1">
      <alignment horizontal="center" vertical="center" wrapText="1"/>
    </xf>
    <xf numFmtId="1" fontId="24" fillId="3" borderId="9" xfId="1" applyNumberFormat="1" applyFont="1" applyFill="1" applyBorder="1" applyAlignment="1">
      <alignment horizontal="center" vertical="center" wrapText="1"/>
    </xf>
    <xf numFmtId="4" fontId="33" fillId="3" borderId="9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9" fillId="3" borderId="0" xfId="2" applyFont="1" applyFill="1"/>
    <xf numFmtId="4" fontId="33" fillId="5" borderId="9" xfId="1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4" fontId="25" fillId="3" borderId="5" xfId="1" applyNumberFormat="1" applyFont="1" applyFill="1" applyBorder="1" applyAlignment="1">
      <alignment vertical="center" wrapText="1"/>
    </xf>
    <xf numFmtId="1" fontId="25" fillId="0" borderId="9" xfId="1" applyNumberFormat="1" applyFont="1" applyBorder="1" applyAlignment="1">
      <alignment horizontal="center" vertical="center" wrapText="1"/>
    </xf>
    <xf numFmtId="4" fontId="25" fillId="4" borderId="9" xfId="1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0" fontId="34" fillId="0" borderId="0" xfId="2" applyFont="1"/>
    <xf numFmtId="0" fontId="2" fillId="5" borderId="5" xfId="0" applyFont="1" applyFill="1" applyBorder="1"/>
    <xf numFmtId="0" fontId="31" fillId="5" borderId="5" xfId="0" applyFont="1" applyFill="1" applyBorder="1" applyAlignment="1">
      <alignment horizontal="center" vertical="center" wrapText="1"/>
    </xf>
    <xf numFmtId="4" fontId="5" fillId="5" borderId="5" xfId="1" applyNumberFormat="1" applyFont="1" applyFill="1" applyBorder="1" applyAlignment="1">
      <alignment vertical="center" wrapText="1"/>
    </xf>
    <xf numFmtId="1" fontId="2" fillId="5" borderId="5" xfId="0" applyNumberFormat="1" applyFont="1" applyFill="1" applyBorder="1"/>
    <xf numFmtId="4" fontId="2" fillId="5" borderId="5" xfId="0" applyNumberFormat="1" applyFont="1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 vertical="center" wrapText="1"/>
    </xf>
    <xf numFmtId="4" fontId="5" fillId="0" borderId="14" xfId="1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5" fillId="0" borderId="14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9" fontId="17" fillId="0" borderId="12" xfId="1" applyNumberFormat="1" applyFont="1" applyBorder="1" applyAlignment="1">
      <alignment horizontal="left" vertical="center" wrapText="1"/>
    </xf>
    <xf numFmtId="4" fontId="16" fillId="0" borderId="14" xfId="1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4" fontId="15" fillId="0" borderId="7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4" fontId="5" fillId="0" borderId="9" xfId="1" applyNumberFormat="1" applyFont="1" applyBorder="1" applyAlignment="1">
      <alignment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4" fontId="9" fillId="3" borderId="0" xfId="2" applyNumberFormat="1" applyFont="1" applyFill="1"/>
    <xf numFmtId="3" fontId="29" fillId="0" borderId="5" xfId="0" applyNumberFormat="1" applyFont="1" applyBorder="1" applyAlignment="1">
      <alignment horizontal="center" vertical="center"/>
    </xf>
    <xf numFmtId="4" fontId="5" fillId="0" borderId="22" xfId="1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164" fontId="24" fillId="0" borderId="5" xfId="1" applyNumberFormat="1" applyFont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29" fillId="0" borderId="5" xfId="0" applyNumberFormat="1" applyFont="1" applyBorder="1" applyAlignment="1">
      <alignment horizontal="center"/>
    </xf>
    <xf numFmtId="1" fontId="29" fillId="0" borderId="5" xfId="0" applyNumberFormat="1" applyFont="1" applyBorder="1"/>
    <xf numFmtId="4" fontId="29" fillId="2" borderId="5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 vertical="center" wrapText="1"/>
    </xf>
    <xf numFmtId="4" fontId="29" fillId="0" borderId="0" xfId="0" applyNumberFormat="1" applyFont="1"/>
    <xf numFmtId="0" fontId="29" fillId="0" borderId="0" xfId="0" applyFont="1"/>
    <xf numFmtId="3" fontId="35" fillId="0" borderId="9" xfId="0" applyNumberFormat="1" applyFont="1" applyBorder="1" applyAlignment="1">
      <alignment horizontal="center" vertical="center"/>
    </xf>
    <xf numFmtId="4" fontId="36" fillId="0" borderId="5" xfId="0" applyNumberFormat="1" applyFont="1" applyBorder="1" applyAlignment="1">
      <alignment horizontal="center"/>
    </xf>
    <xf numFmtId="1" fontId="36" fillId="0" borderId="5" xfId="0" applyNumberFormat="1" applyFont="1" applyBorder="1"/>
    <xf numFmtId="4" fontId="36" fillId="0" borderId="5" xfId="0" applyNumberFormat="1" applyFont="1" applyBorder="1" applyAlignment="1">
      <alignment wrapText="1"/>
    </xf>
    <xf numFmtId="3" fontId="36" fillId="0" borderId="5" xfId="0" applyNumberFormat="1" applyFont="1" applyBorder="1" applyAlignment="1">
      <alignment horizontal="center"/>
    </xf>
    <xf numFmtId="4" fontId="36" fillId="2" borderId="5" xfId="0" applyNumberFormat="1" applyFont="1" applyFill="1" applyBorder="1" applyAlignment="1">
      <alignment horizontal="center"/>
    </xf>
    <xf numFmtId="4" fontId="36" fillId="0" borderId="0" xfId="0" applyNumberFormat="1" applyFont="1" applyAlignment="1">
      <alignment horizontal="center" vertical="center" wrapText="1"/>
    </xf>
    <xf numFmtId="4" fontId="36" fillId="0" borderId="0" xfId="0" applyNumberFormat="1" applyFont="1"/>
    <xf numFmtId="0" fontId="36" fillId="0" borderId="0" xfId="0" applyFont="1"/>
    <xf numFmtId="4" fontId="2" fillId="0" borderId="14" xfId="0" applyNumberFormat="1" applyFont="1" applyBorder="1"/>
    <xf numFmtId="4" fontId="37" fillId="0" borderId="9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wrapText="1"/>
    </xf>
    <xf numFmtId="0" fontId="5" fillId="0" borderId="8" xfId="1" applyFont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3" fontId="29" fillId="0" borderId="14" xfId="0" applyNumberFormat="1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center" vertical="center"/>
    </xf>
    <xf numFmtId="3" fontId="29" fillId="0" borderId="9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/>
    </xf>
    <xf numFmtId="4" fontId="5" fillId="0" borderId="14" xfId="1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5" fillId="0" borderId="14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15" fillId="0" borderId="14" xfId="1" applyNumberFormat="1" applyFont="1" applyBorder="1" applyAlignment="1">
      <alignment horizontal="center" vertical="center" wrapText="1"/>
    </xf>
    <xf numFmtId="4" fontId="16" fillId="0" borderId="14" xfId="1" applyNumberFormat="1" applyFont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17" fillId="0" borderId="10" xfId="1" applyNumberFormat="1" applyFont="1" applyBorder="1" applyAlignment="1">
      <alignment horizontal="left" vertical="center" wrapText="1"/>
    </xf>
    <xf numFmtId="49" fontId="17" fillId="0" borderId="11" xfId="1" applyNumberFormat="1" applyFont="1" applyBorder="1" applyAlignment="1">
      <alignment horizontal="left" vertical="center" wrapText="1"/>
    </xf>
    <xf numFmtId="49" fontId="17" fillId="0" borderId="12" xfId="1" applyNumberFormat="1" applyFont="1" applyBorder="1" applyAlignment="1">
      <alignment horizontal="left" vertical="center" wrapText="1"/>
    </xf>
    <xf numFmtId="164" fontId="23" fillId="0" borderId="0" xfId="1" applyNumberFormat="1" applyFont="1" applyAlignment="1">
      <alignment horizontal="center" vertical="center" wrapText="1"/>
    </xf>
    <xf numFmtId="164" fontId="24" fillId="0" borderId="5" xfId="1" applyNumberFormat="1" applyFont="1" applyBorder="1" applyAlignment="1">
      <alignment horizontal="center" vertical="center" wrapText="1"/>
    </xf>
    <xf numFmtId="164" fontId="25" fillId="0" borderId="5" xfId="1" applyNumberFormat="1" applyFont="1" applyBorder="1" applyAlignment="1">
      <alignment horizontal="center" vertical="center" wrapText="1"/>
    </xf>
    <xf numFmtId="1" fontId="24" fillId="0" borderId="5" xfId="1" applyNumberFormat="1" applyFont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3" fontId="26" fillId="0" borderId="5" xfId="1" applyNumberFormat="1" applyFont="1" applyBorder="1" applyAlignment="1">
      <alignment horizontal="center" vertical="center" wrapText="1"/>
    </xf>
    <xf numFmtId="3" fontId="28" fillId="0" borderId="5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 applyAlignment="1">
      <alignment horizontal="center" vertical="center" wrapText="1"/>
    </xf>
    <xf numFmtId="164" fontId="25" fillId="0" borderId="7" xfId="1" applyNumberFormat="1" applyFont="1" applyBorder="1" applyAlignment="1">
      <alignment horizontal="center" vertical="center" wrapText="1"/>
    </xf>
    <xf numFmtId="164" fontId="25" fillId="0" borderId="9" xfId="1" applyNumberFormat="1" applyFont="1" applyBorder="1" applyAlignment="1">
      <alignment horizontal="center" vertical="center" wrapText="1"/>
    </xf>
    <xf numFmtId="1" fontId="24" fillId="0" borderId="2" xfId="1" applyNumberFormat="1" applyFont="1" applyBorder="1" applyAlignment="1">
      <alignment horizontal="center" vertical="center" wrapText="1"/>
    </xf>
    <xf numFmtId="1" fontId="24" fillId="0" borderId="7" xfId="1" applyNumberFormat="1" applyFont="1" applyBorder="1" applyAlignment="1">
      <alignment horizontal="center" vertical="center" wrapText="1"/>
    </xf>
    <xf numFmtId="1" fontId="24" fillId="0" borderId="9" xfId="1" applyNumberFormat="1" applyFont="1" applyBorder="1" applyAlignment="1">
      <alignment horizontal="center"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4" fillId="0" borderId="7" xfId="1" applyNumberFormat="1" applyFont="1" applyBorder="1" applyAlignment="1">
      <alignment horizontal="center" vertical="center" wrapText="1"/>
    </xf>
    <xf numFmtId="164" fontId="24" fillId="0" borderId="9" xfId="1" applyNumberFormat="1" applyFont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3" fontId="28" fillId="0" borderId="19" xfId="1" applyNumberFormat="1" applyFont="1" applyBorder="1" applyAlignment="1">
      <alignment horizontal="center" vertical="center" wrapText="1"/>
    </xf>
    <xf numFmtId="3" fontId="4" fillId="0" borderId="20" xfId="1" applyNumberFormat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3" fontId="26" fillId="0" borderId="3" xfId="1" applyNumberFormat="1" applyFont="1" applyBorder="1" applyAlignment="1">
      <alignment horizontal="center" vertical="center" wrapText="1"/>
    </xf>
    <xf numFmtId="3" fontId="26" fillId="0" borderId="4" xfId="1" applyNumberFormat="1" applyFont="1" applyBorder="1" applyAlignment="1">
      <alignment horizontal="center" vertical="center" wrapText="1"/>
    </xf>
    <xf numFmtId="3" fontId="26" fillId="0" borderId="1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64" fontId="24" fillId="0" borderId="1" xfId="1" applyNumberFormat="1" applyFont="1" applyBorder="1" applyAlignment="1">
      <alignment horizontal="center" vertical="center" wrapText="1"/>
    </xf>
    <xf numFmtId="164" fontId="24" fillId="0" borderId="6" xfId="1" applyNumberFormat="1" applyFont="1" applyBorder="1" applyAlignment="1">
      <alignment horizontal="center" vertical="center" wrapText="1"/>
    </xf>
    <xf numFmtId="164" fontId="24" fillId="0" borderId="8" xfId="1" applyNumberFormat="1" applyFont="1" applyBorder="1" applyAlignment="1">
      <alignment horizontal="center" vertical="center" wrapText="1"/>
    </xf>
  </cellXfs>
  <cellStyles count="4">
    <cellStyle name="Звичайний 2" xfId="3"/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9"/>
  <sheetViews>
    <sheetView view="pageBreakPreview" topLeftCell="A213" zoomScale="50" zoomScaleNormal="50" zoomScaleSheetLayoutView="50" workbookViewId="0">
      <selection activeCell="I226" sqref="I226"/>
    </sheetView>
  </sheetViews>
  <sheetFormatPr defaultColWidth="9.109375" defaultRowHeight="5.7" customHeight="1" x14ac:dyDescent="0.4"/>
  <cols>
    <col min="1" max="1" width="19.88671875" style="1" customWidth="1"/>
    <col min="2" max="2" width="75.44140625" style="1" customWidth="1"/>
    <col min="3" max="3" width="34.6640625" style="1" hidden="1" customWidth="1"/>
    <col min="4" max="4" width="15" style="2" hidden="1" customWidth="1"/>
    <col min="5" max="5" width="53" style="1" customWidth="1"/>
    <col min="6" max="6" width="13.88671875" style="1" customWidth="1"/>
    <col min="7" max="7" width="38.5546875" style="4" customWidth="1"/>
    <col min="8" max="8" width="27.6640625" style="1" hidden="1" customWidth="1"/>
    <col min="9" max="9" width="33.6640625" style="1" customWidth="1"/>
    <col min="10" max="10" width="0.33203125" style="1" customWidth="1"/>
    <col min="11" max="11" width="32.44140625" style="1" customWidth="1"/>
    <col min="12" max="12" width="28.33203125" style="1" customWidth="1"/>
    <col min="13" max="13" width="28.109375" style="1" hidden="1" customWidth="1"/>
    <col min="14" max="14" width="25.5546875" style="1" hidden="1" customWidth="1"/>
    <col min="15" max="15" width="28.88671875" style="1" hidden="1" customWidth="1"/>
    <col min="16" max="16" width="12.33203125" style="5" hidden="1" customWidth="1"/>
    <col min="17" max="17" width="23.88671875" style="1" hidden="1" customWidth="1"/>
    <col min="18" max="18" width="35.44140625" style="1" customWidth="1"/>
    <col min="19" max="19" width="124.33203125" style="1" customWidth="1"/>
    <col min="20" max="16384" width="9.109375" style="1"/>
  </cols>
  <sheetData>
    <row r="1" spans="1:19" ht="22.8" x14ac:dyDescent="0.4">
      <c r="E1" s="3"/>
      <c r="F1" s="3"/>
      <c r="I1" s="3"/>
      <c r="J1" s="3"/>
    </row>
    <row r="2" spans="1:19" ht="186" customHeight="1" x14ac:dyDescent="0.4">
      <c r="A2" s="299" t="s">
        <v>264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6"/>
    </row>
    <row r="3" spans="1:19" s="10" customFormat="1" ht="34.200000000000003" hidden="1" customHeight="1" thickBot="1" x14ac:dyDescent="0.45">
      <c r="A3" s="7"/>
      <c r="B3" s="7"/>
      <c r="C3" s="7"/>
      <c r="D3" s="7"/>
      <c r="E3" s="7"/>
      <c r="F3" s="7"/>
      <c r="G3" s="7"/>
      <c r="H3" s="7"/>
      <c r="I3" s="7">
        <v>1</v>
      </c>
      <c r="J3" s="7">
        <v>2</v>
      </c>
      <c r="K3" s="7">
        <v>3</v>
      </c>
      <c r="L3" s="7"/>
      <c r="M3" s="7"/>
      <c r="N3" s="7">
        <v>4</v>
      </c>
      <c r="O3" s="8"/>
      <c r="P3" s="9"/>
    </row>
    <row r="4" spans="1:19" ht="27" hidden="1" customHeight="1" x14ac:dyDescent="0.4">
      <c r="A4" s="300" t="s">
        <v>0</v>
      </c>
      <c r="B4" s="300" t="s">
        <v>1</v>
      </c>
      <c r="C4" s="301" t="s">
        <v>2</v>
      </c>
      <c r="D4" s="302" t="s">
        <v>3</v>
      </c>
      <c r="E4" s="300" t="s">
        <v>4</v>
      </c>
      <c r="F4" s="248"/>
      <c r="G4" s="303" t="s">
        <v>252</v>
      </c>
      <c r="H4" s="304" t="s">
        <v>248</v>
      </c>
      <c r="I4" s="304"/>
      <c r="J4" s="304"/>
      <c r="K4" s="304"/>
      <c r="L4" s="304"/>
      <c r="M4" s="304"/>
      <c r="N4" s="304"/>
      <c r="O4" s="11" t="s">
        <v>5</v>
      </c>
      <c r="Q4" s="12" t="s">
        <v>6</v>
      </c>
      <c r="S4" s="13"/>
    </row>
    <row r="5" spans="1:19" ht="78.599999999999994" hidden="1" customHeight="1" thickBot="1" x14ac:dyDescent="0.45">
      <c r="A5" s="300"/>
      <c r="B5" s="300"/>
      <c r="C5" s="301"/>
      <c r="D5" s="302"/>
      <c r="E5" s="300"/>
      <c r="F5" s="248"/>
      <c r="G5" s="303"/>
      <c r="H5" s="305" t="s">
        <v>249</v>
      </c>
      <c r="I5" s="306"/>
      <c r="J5" s="306"/>
      <c r="K5" s="306"/>
      <c r="L5" s="21"/>
      <c r="M5" s="249" t="s">
        <v>7</v>
      </c>
      <c r="N5" s="14" t="s">
        <v>8</v>
      </c>
      <c r="O5" s="11"/>
      <c r="Q5" s="12"/>
      <c r="S5" s="13"/>
    </row>
    <row r="6" spans="1:19" ht="147.75" customHeight="1" x14ac:dyDescent="0.4">
      <c r="A6" s="300"/>
      <c r="B6" s="300"/>
      <c r="C6" s="301"/>
      <c r="D6" s="302"/>
      <c r="E6" s="300"/>
      <c r="F6" s="248" t="s">
        <v>263</v>
      </c>
      <c r="G6" s="303"/>
      <c r="H6" s="21" t="s">
        <v>9</v>
      </c>
      <c r="I6" s="14" t="s">
        <v>10</v>
      </c>
      <c r="J6" s="40"/>
      <c r="K6" s="40" t="s">
        <v>250</v>
      </c>
      <c r="L6" s="40" t="s">
        <v>262</v>
      </c>
      <c r="M6" s="250" t="s">
        <v>9</v>
      </c>
      <c r="N6" s="40" t="s">
        <v>9</v>
      </c>
      <c r="O6" s="11"/>
      <c r="Q6" s="12"/>
      <c r="S6" s="13"/>
    </row>
    <row r="7" spans="1:19" s="256" customFormat="1" ht="61.95" customHeight="1" x14ac:dyDescent="0.55000000000000004">
      <c r="A7" s="106" t="s">
        <v>11</v>
      </c>
      <c r="B7" s="107" t="s">
        <v>12</v>
      </c>
      <c r="C7" s="251" t="s">
        <v>13</v>
      </c>
      <c r="D7" s="252"/>
      <c r="E7" s="106"/>
      <c r="F7" s="106"/>
      <c r="G7" s="253">
        <f>G18+G42+G186+G207</f>
        <v>129605039</v>
      </c>
      <c r="H7" s="251">
        <f>H18+H42+H186+H207</f>
        <v>89801945</v>
      </c>
      <c r="I7" s="251">
        <f>I18+I42+I186+I207</f>
        <v>55775671.509999998</v>
      </c>
      <c r="J7" s="251">
        <f>J18+J42+J186+J207</f>
        <v>44107523.581374854</v>
      </c>
      <c r="K7" s="251">
        <f>K18+K42+K186+K207</f>
        <v>55775671.510000005</v>
      </c>
      <c r="L7" s="251">
        <f>K7/G7*100</f>
        <v>43.035110316968463</v>
      </c>
      <c r="M7" s="253">
        <f>M18+M42+M186+M207</f>
        <v>34803094</v>
      </c>
      <c r="N7" s="251">
        <f>N18+N42+N186+N207</f>
        <v>5000000</v>
      </c>
      <c r="O7" s="251">
        <f>O18+O42+O186+O207</f>
        <v>31454150</v>
      </c>
      <c r="P7" s="254"/>
      <c r="Q7" s="255">
        <f>G7-J7-I7</f>
        <v>29721843.908625148</v>
      </c>
    </row>
    <row r="8" spans="1:19" s="20" customFormat="1" ht="61.8" customHeight="1" x14ac:dyDescent="0.4">
      <c r="A8" s="274">
        <v>6011</v>
      </c>
      <c r="B8" s="293" t="s">
        <v>278</v>
      </c>
      <c r="C8" s="233"/>
      <c r="D8" s="17"/>
      <c r="E8" s="16" t="s">
        <v>266</v>
      </c>
      <c r="F8" s="57">
        <v>2</v>
      </c>
      <c r="G8" s="23">
        <v>5000000</v>
      </c>
      <c r="H8" s="233">
        <v>0</v>
      </c>
      <c r="I8" s="233">
        <v>0</v>
      </c>
      <c r="J8" s="233">
        <v>0</v>
      </c>
      <c r="K8" s="233">
        <v>0</v>
      </c>
      <c r="L8" s="233">
        <f t="shared" ref="L8:L16" si="0">K8/G8*100</f>
        <v>0</v>
      </c>
      <c r="M8" s="23"/>
      <c r="N8" s="233"/>
      <c r="O8" s="233"/>
      <c r="P8" s="18"/>
      <c r="Q8" s="19"/>
    </row>
    <row r="9" spans="1:19" s="20" customFormat="1" ht="61.95" customHeight="1" x14ac:dyDescent="0.4">
      <c r="A9" s="275"/>
      <c r="B9" s="282"/>
      <c r="C9" s="233"/>
      <c r="D9" s="17"/>
      <c r="E9" s="16" t="s">
        <v>267</v>
      </c>
      <c r="F9" s="57">
        <v>18</v>
      </c>
      <c r="G9" s="23">
        <v>23437500</v>
      </c>
      <c r="H9" s="233">
        <v>20523960</v>
      </c>
      <c r="I9" s="233">
        <v>18302681.859999999</v>
      </c>
      <c r="J9" s="233"/>
      <c r="K9" s="233">
        <v>18302681.859999999</v>
      </c>
      <c r="L9" s="233">
        <f t="shared" si="0"/>
        <v>78.09144260266666</v>
      </c>
      <c r="M9" s="23"/>
      <c r="N9" s="233"/>
      <c r="O9" s="233"/>
      <c r="P9" s="18"/>
      <c r="Q9" s="19"/>
    </row>
    <row r="10" spans="1:19" s="20" customFormat="1" ht="61.95" customHeight="1" x14ac:dyDescent="0.4">
      <c r="A10" s="275"/>
      <c r="B10" s="282"/>
      <c r="C10" s="233"/>
      <c r="D10" s="17"/>
      <c r="E10" s="16" t="s">
        <v>268</v>
      </c>
      <c r="F10" s="57">
        <v>15</v>
      </c>
      <c r="G10" s="23">
        <v>18700000</v>
      </c>
      <c r="H10" s="233">
        <v>13760183</v>
      </c>
      <c r="I10" s="233">
        <v>12672011.25</v>
      </c>
      <c r="J10" s="233"/>
      <c r="K10" s="233">
        <v>12672011.25</v>
      </c>
      <c r="L10" s="233">
        <f>K10/G10*100</f>
        <v>67.764766042780749</v>
      </c>
      <c r="M10" s="23"/>
      <c r="N10" s="233"/>
      <c r="O10" s="233"/>
      <c r="P10" s="18"/>
      <c r="Q10" s="19"/>
    </row>
    <row r="11" spans="1:19" s="20" customFormat="1" ht="61.95" customHeight="1" x14ac:dyDescent="0.4">
      <c r="A11" s="275"/>
      <c r="B11" s="282"/>
      <c r="C11" s="233"/>
      <c r="D11" s="17"/>
      <c r="E11" s="16" t="s">
        <v>269</v>
      </c>
      <c r="F11" s="57">
        <v>2</v>
      </c>
      <c r="G11" s="23">
        <v>10694500</v>
      </c>
      <c r="H11" s="233">
        <v>10694500</v>
      </c>
      <c r="I11" s="233">
        <v>0</v>
      </c>
      <c r="J11" s="233"/>
      <c r="K11" s="233">
        <v>0</v>
      </c>
      <c r="L11" s="233">
        <f t="shared" si="0"/>
        <v>0</v>
      </c>
      <c r="M11" s="23"/>
      <c r="N11" s="233"/>
      <c r="O11" s="233"/>
      <c r="P11" s="18"/>
      <c r="Q11" s="19"/>
    </row>
    <row r="12" spans="1:19" s="20" customFormat="1" ht="61.95" customHeight="1" x14ac:dyDescent="0.4">
      <c r="A12" s="275"/>
      <c r="B12" s="282"/>
      <c r="C12" s="233"/>
      <c r="D12" s="17"/>
      <c r="E12" s="16" t="s">
        <v>270</v>
      </c>
      <c r="F12" s="57">
        <v>64</v>
      </c>
      <c r="G12" s="23">
        <v>23000000</v>
      </c>
      <c r="H12" s="233">
        <v>1058627</v>
      </c>
      <c r="I12" s="233">
        <v>733477.42</v>
      </c>
      <c r="J12" s="233"/>
      <c r="K12" s="233">
        <v>733477.42</v>
      </c>
      <c r="L12" s="233">
        <f t="shared" si="0"/>
        <v>3.1890322608695656</v>
      </c>
      <c r="M12" s="23"/>
      <c r="N12" s="233"/>
      <c r="O12" s="233"/>
      <c r="P12" s="18"/>
      <c r="Q12" s="19"/>
    </row>
    <row r="13" spans="1:19" s="20" customFormat="1" ht="61.95" customHeight="1" x14ac:dyDescent="0.4">
      <c r="A13" s="275"/>
      <c r="B13" s="282"/>
      <c r="C13" s="233"/>
      <c r="D13" s="17"/>
      <c r="E13" s="16" t="s">
        <v>271</v>
      </c>
      <c r="F13" s="57">
        <v>21</v>
      </c>
      <c r="G13" s="23">
        <v>20193600</v>
      </c>
      <c r="H13" s="233">
        <v>18639386</v>
      </c>
      <c r="I13" s="233">
        <v>14359655.35</v>
      </c>
      <c r="J13" s="233"/>
      <c r="K13" s="233">
        <v>14359655.35</v>
      </c>
      <c r="L13" s="233">
        <f t="shared" si="0"/>
        <v>71.109932602408691</v>
      </c>
      <c r="M13" s="23"/>
      <c r="N13" s="233"/>
      <c r="O13" s="233"/>
      <c r="P13" s="18"/>
      <c r="Q13" s="19"/>
    </row>
    <row r="14" spans="1:19" s="20" customFormat="1" ht="61.95" customHeight="1" x14ac:dyDescent="0.4">
      <c r="A14" s="276"/>
      <c r="B14" s="283"/>
      <c r="C14" s="233"/>
      <c r="D14" s="17"/>
      <c r="E14" s="16" t="s">
        <v>272</v>
      </c>
      <c r="F14" s="57">
        <v>7</v>
      </c>
      <c r="G14" s="23">
        <v>13162000</v>
      </c>
      <c r="H14" s="233">
        <v>9707850</v>
      </c>
      <c r="I14" s="233">
        <v>9707845.6300000008</v>
      </c>
      <c r="J14" s="233"/>
      <c r="K14" s="233">
        <v>9707845.6300000008</v>
      </c>
      <c r="L14" s="233">
        <f t="shared" si="0"/>
        <v>73.756614724206045</v>
      </c>
      <c r="M14" s="23"/>
      <c r="N14" s="233"/>
      <c r="O14" s="233"/>
      <c r="P14" s="18"/>
      <c r="Q14" s="19"/>
    </row>
    <row r="15" spans="1:19" s="265" customFormat="1" ht="61.95" customHeight="1" x14ac:dyDescent="0.35">
      <c r="A15" s="257"/>
      <c r="B15" s="267" t="s">
        <v>279</v>
      </c>
      <c r="C15" s="258" t="str">
        <f t="shared" ref="C15:L15" si="1">C17</f>
        <v>Капітальний ремонт</v>
      </c>
      <c r="D15" s="259">
        <f t="shared" si="1"/>
        <v>0</v>
      </c>
      <c r="E15" s="260">
        <f t="shared" si="1"/>
        <v>0</v>
      </c>
      <c r="F15" s="261">
        <f t="shared" si="1"/>
        <v>0</v>
      </c>
      <c r="G15" s="262">
        <f t="shared" si="1"/>
        <v>114187600</v>
      </c>
      <c r="H15" s="258">
        <f t="shared" si="1"/>
        <v>74384506</v>
      </c>
      <c r="I15" s="258">
        <f t="shared" si="1"/>
        <v>55775671.509999998</v>
      </c>
      <c r="J15" s="258">
        <f t="shared" si="1"/>
        <v>28690084.581374858</v>
      </c>
      <c r="K15" s="258">
        <f t="shared" si="1"/>
        <v>55775671.510000005</v>
      </c>
      <c r="L15" s="258">
        <f t="shared" si="1"/>
        <v>48.845646558820754</v>
      </c>
      <c r="M15" s="262"/>
      <c r="N15" s="258"/>
      <c r="O15" s="258"/>
      <c r="P15" s="263"/>
      <c r="Q15" s="264"/>
    </row>
    <row r="16" spans="1:19" s="20" customFormat="1" ht="60.6" customHeight="1" x14ac:dyDescent="0.55000000000000004">
      <c r="A16" s="244">
        <v>6015</v>
      </c>
      <c r="B16" s="107" t="s">
        <v>166</v>
      </c>
      <c r="C16" s="233"/>
      <c r="D16" s="17"/>
      <c r="E16" s="16" t="s">
        <v>273</v>
      </c>
      <c r="F16" s="57">
        <v>19</v>
      </c>
      <c r="G16" s="23">
        <v>15417439</v>
      </c>
      <c r="H16" s="233">
        <v>15417439</v>
      </c>
      <c r="I16" s="233">
        <v>0</v>
      </c>
      <c r="J16" s="233"/>
      <c r="K16" s="233">
        <v>0</v>
      </c>
      <c r="L16" s="233">
        <f t="shared" si="0"/>
        <v>0</v>
      </c>
      <c r="M16" s="23"/>
      <c r="N16" s="233"/>
      <c r="O16" s="233"/>
      <c r="P16" s="18"/>
      <c r="Q16" s="19"/>
    </row>
    <row r="17" spans="1:19" s="20" customFormat="1" ht="89.4" hidden="1" customHeight="1" x14ac:dyDescent="0.4">
      <c r="A17" s="21">
        <v>6011</v>
      </c>
      <c r="B17" s="108" t="s">
        <v>14</v>
      </c>
      <c r="C17" s="14" t="s">
        <v>15</v>
      </c>
      <c r="D17" s="17"/>
      <c r="E17" s="15"/>
      <c r="F17" s="15"/>
      <c r="G17" s="23">
        <f>G42+G18</f>
        <v>114187600</v>
      </c>
      <c r="H17" s="233">
        <f>H42+H18</f>
        <v>74384506</v>
      </c>
      <c r="I17" s="233">
        <f>I42+I18</f>
        <v>55775671.509999998</v>
      </c>
      <c r="J17" s="233">
        <f>J42+J18</f>
        <v>28690084.581374858</v>
      </c>
      <c r="K17" s="233">
        <f>K42+K18</f>
        <v>55775671.510000005</v>
      </c>
      <c r="L17" s="233">
        <f t="shared" ref="L17:L81" si="2">K17/G17*100</f>
        <v>48.845646558820754</v>
      </c>
      <c r="M17" s="23">
        <f>M42+M18</f>
        <v>34803094</v>
      </c>
      <c r="N17" s="233">
        <f>N42+N18</f>
        <v>5000000</v>
      </c>
      <c r="O17" s="233"/>
      <c r="P17" s="18"/>
      <c r="Q17" s="19"/>
    </row>
    <row r="18" spans="1:19" ht="89.4" hidden="1" customHeight="1" x14ac:dyDescent="0.4">
      <c r="A18" s="17">
        <v>6011</v>
      </c>
      <c r="B18" s="109" t="s">
        <v>16</v>
      </c>
      <c r="C18" s="37"/>
      <c r="D18" s="110"/>
      <c r="E18" s="37"/>
      <c r="F18" s="37"/>
      <c r="G18" s="23">
        <f t="shared" ref="G18:O18" si="3">G21+G24+G27+G29</f>
        <v>5000000</v>
      </c>
      <c r="H18" s="233">
        <f t="shared" si="3"/>
        <v>0</v>
      </c>
      <c r="I18" s="233">
        <f t="shared" si="3"/>
        <v>0</v>
      </c>
      <c r="J18" s="233">
        <f t="shared" si="3"/>
        <v>0</v>
      </c>
      <c r="K18" s="233">
        <f t="shared" si="3"/>
        <v>0</v>
      </c>
      <c r="L18" s="233">
        <f t="shared" si="2"/>
        <v>0</v>
      </c>
      <c r="M18" s="23">
        <f t="shared" si="3"/>
        <v>5000000</v>
      </c>
      <c r="N18" s="233">
        <f t="shared" si="3"/>
        <v>0</v>
      </c>
      <c r="O18" s="233">
        <f t="shared" si="3"/>
        <v>5000000</v>
      </c>
      <c r="P18" s="22"/>
      <c r="Q18" s="3">
        <f>G18-J18</f>
        <v>5000000</v>
      </c>
      <c r="S18" s="3"/>
    </row>
    <row r="19" spans="1:19" ht="31.8" customHeight="1" x14ac:dyDescent="0.4">
      <c r="A19" s="17"/>
      <c r="B19" s="109"/>
      <c r="C19" s="266"/>
      <c r="D19" s="110"/>
      <c r="E19" s="266"/>
      <c r="F19" s="266"/>
      <c r="G19" s="23"/>
      <c r="H19" s="247"/>
      <c r="I19" s="247"/>
      <c r="J19" s="247"/>
      <c r="K19" s="247"/>
      <c r="L19" s="247"/>
      <c r="M19" s="23"/>
      <c r="N19" s="247"/>
      <c r="O19" s="247"/>
      <c r="P19" s="22"/>
      <c r="Q19" s="3"/>
      <c r="S19" s="3"/>
    </row>
    <row r="20" spans="1:19" ht="31.8" customHeight="1" x14ac:dyDescent="0.4">
      <c r="A20" s="17"/>
      <c r="B20" s="109"/>
      <c r="C20" s="266"/>
      <c r="D20" s="110"/>
      <c r="E20" s="266"/>
      <c r="F20" s="266"/>
      <c r="G20" s="23"/>
      <c r="H20" s="247"/>
      <c r="I20" s="247"/>
      <c r="J20" s="247"/>
      <c r="K20" s="247"/>
      <c r="L20" s="247"/>
      <c r="M20" s="23"/>
      <c r="N20" s="247"/>
      <c r="O20" s="247"/>
      <c r="P20" s="22"/>
      <c r="Q20" s="3"/>
      <c r="S20" s="3"/>
    </row>
    <row r="21" spans="1:19" s="20" customFormat="1" ht="99.75" customHeight="1" x14ac:dyDescent="0.4">
      <c r="A21" s="17">
        <v>6011</v>
      </c>
      <c r="B21" s="16" t="s">
        <v>17</v>
      </c>
      <c r="C21" s="284" t="s">
        <v>15</v>
      </c>
      <c r="D21" s="66">
        <v>3132</v>
      </c>
      <c r="E21" s="287" t="s">
        <v>18</v>
      </c>
      <c r="F21" s="229"/>
      <c r="G21" s="23">
        <f>SUM(G22:G23)</f>
        <v>5000000</v>
      </c>
      <c r="H21" s="233">
        <f t="shared" ref="H21:O21" si="4">SUM(H22:H23)</f>
        <v>0</v>
      </c>
      <c r="I21" s="233">
        <f t="shared" si="4"/>
        <v>0</v>
      </c>
      <c r="J21" s="233">
        <f t="shared" si="4"/>
        <v>0</v>
      </c>
      <c r="K21" s="233">
        <f t="shared" si="4"/>
        <v>0</v>
      </c>
      <c r="L21" s="233">
        <f t="shared" si="2"/>
        <v>0</v>
      </c>
      <c r="M21" s="23">
        <f t="shared" si="4"/>
        <v>5000000</v>
      </c>
      <c r="N21" s="233">
        <f t="shared" si="4"/>
        <v>0</v>
      </c>
      <c r="O21" s="233">
        <f t="shared" si="4"/>
        <v>5000000</v>
      </c>
      <c r="P21" s="18"/>
      <c r="Q21" s="3">
        <f t="shared" ref="Q21:Q42" si="5">G21-J21-I21</f>
        <v>5000000</v>
      </c>
      <c r="S21" s="19"/>
    </row>
    <row r="22" spans="1:19" ht="48" customHeight="1" x14ac:dyDescent="0.4">
      <c r="A22" s="24">
        <v>1</v>
      </c>
      <c r="B22" s="52" t="s">
        <v>19</v>
      </c>
      <c r="C22" s="285"/>
      <c r="D22" s="32">
        <v>3132</v>
      </c>
      <c r="E22" s="282"/>
      <c r="F22" s="227"/>
      <c r="G22" s="111">
        <v>2400000</v>
      </c>
      <c r="H22" s="26"/>
      <c r="I22" s="26"/>
      <c r="J22" s="26">
        <f>H22-I22</f>
        <v>0</v>
      </c>
      <c r="K22" s="35"/>
      <c r="L22" s="233">
        <f t="shared" si="2"/>
        <v>0</v>
      </c>
      <c r="M22" s="111">
        <v>2400000</v>
      </c>
      <c r="N22" s="26"/>
      <c r="O22" s="26">
        <f t="shared" ref="O22:O25" si="6">M22-N22</f>
        <v>2400000</v>
      </c>
      <c r="P22" s="5">
        <v>1</v>
      </c>
      <c r="Q22" s="3">
        <f t="shared" si="5"/>
        <v>2400000</v>
      </c>
    </row>
    <row r="23" spans="1:19" ht="45.6" customHeight="1" x14ac:dyDescent="0.4">
      <c r="A23" s="24">
        <v>2</v>
      </c>
      <c r="B23" s="52" t="s">
        <v>20</v>
      </c>
      <c r="C23" s="286"/>
      <c r="D23" s="32">
        <v>3132</v>
      </c>
      <c r="E23" s="283"/>
      <c r="F23" s="228"/>
      <c r="G23" s="111">
        <v>2600000</v>
      </c>
      <c r="H23" s="26"/>
      <c r="I23" s="26"/>
      <c r="J23" s="26">
        <f>H23-I23</f>
        <v>0</v>
      </c>
      <c r="K23" s="35"/>
      <c r="L23" s="233">
        <f t="shared" si="2"/>
        <v>0</v>
      </c>
      <c r="M23" s="111">
        <v>2600000</v>
      </c>
      <c r="N23" s="26"/>
      <c r="O23" s="26">
        <f t="shared" si="6"/>
        <v>2600000</v>
      </c>
      <c r="P23" s="5">
        <v>2</v>
      </c>
      <c r="Q23" s="3">
        <f t="shared" si="5"/>
        <v>2600000</v>
      </c>
    </row>
    <row r="24" spans="1:19" s="20" customFormat="1" ht="3" hidden="1" customHeight="1" x14ac:dyDescent="0.4">
      <c r="A24" s="27"/>
      <c r="B24" s="19"/>
      <c r="C24" s="112"/>
      <c r="D24" s="98"/>
      <c r="E24" s="113" t="s">
        <v>21</v>
      </c>
      <c r="F24" s="113"/>
      <c r="G24" s="114">
        <f>SUM(G25:G26)</f>
        <v>0</v>
      </c>
      <c r="H24" s="115">
        <f t="shared" ref="H24:O24" si="7">SUM(H25:H26)</f>
        <v>0</v>
      </c>
      <c r="I24" s="115">
        <f t="shared" si="7"/>
        <v>0</v>
      </c>
      <c r="J24" s="115">
        <f t="shared" si="7"/>
        <v>0</v>
      </c>
      <c r="K24" s="115">
        <f t="shared" si="7"/>
        <v>0</v>
      </c>
      <c r="L24" s="233" t="e">
        <f t="shared" si="2"/>
        <v>#DIV/0!</v>
      </c>
      <c r="M24" s="114">
        <f t="shared" si="7"/>
        <v>0</v>
      </c>
      <c r="N24" s="115">
        <f t="shared" si="7"/>
        <v>0</v>
      </c>
      <c r="O24" s="115">
        <f t="shared" si="7"/>
        <v>0</v>
      </c>
      <c r="P24" s="28"/>
      <c r="Q24" s="3">
        <f t="shared" si="5"/>
        <v>0</v>
      </c>
      <c r="S24" s="19"/>
    </row>
    <row r="25" spans="1:19" ht="45" hidden="1" customHeight="1" x14ac:dyDescent="0.4">
      <c r="A25" s="29">
        <v>1</v>
      </c>
      <c r="B25" s="30"/>
      <c r="C25" s="31" t="s">
        <v>15</v>
      </c>
      <c r="D25" s="32">
        <v>3132</v>
      </c>
      <c r="E25" s="33" t="s">
        <v>21</v>
      </c>
      <c r="F25" s="33"/>
      <c r="G25" s="116"/>
      <c r="H25" s="35"/>
      <c r="I25" s="35"/>
      <c r="J25" s="35"/>
      <c r="K25" s="35"/>
      <c r="L25" s="233" t="e">
        <f t="shared" si="2"/>
        <v>#DIV/0!</v>
      </c>
      <c r="M25" s="117">
        <f t="shared" ref="M25:M26" si="8">J25-K25</f>
        <v>0</v>
      </c>
      <c r="N25" s="35"/>
      <c r="O25" s="35">
        <f t="shared" si="6"/>
        <v>0</v>
      </c>
      <c r="P25" s="36">
        <v>1</v>
      </c>
      <c r="Q25" s="3">
        <f t="shared" si="5"/>
        <v>0</v>
      </c>
      <c r="R25" s="3"/>
    </row>
    <row r="26" spans="1:19" ht="45" hidden="1" customHeight="1" x14ac:dyDescent="0.4">
      <c r="A26" s="37"/>
      <c r="B26" s="30"/>
      <c r="C26" s="31" t="s">
        <v>15</v>
      </c>
      <c r="D26" s="32">
        <v>3132</v>
      </c>
      <c r="E26" s="33" t="s">
        <v>21</v>
      </c>
      <c r="F26" s="33"/>
      <c r="G26" s="116"/>
      <c r="H26" s="35"/>
      <c r="I26" s="35"/>
      <c r="J26" s="35"/>
      <c r="K26" s="35"/>
      <c r="L26" s="233" t="e">
        <f t="shared" si="2"/>
        <v>#DIV/0!</v>
      </c>
      <c r="M26" s="117">
        <f t="shared" si="8"/>
        <v>0</v>
      </c>
      <c r="N26" s="35"/>
      <c r="O26" s="35">
        <f>M26-N26</f>
        <v>0</v>
      </c>
      <c r="P26" s="36">
        <v>2</v>
      </c>
      <c r="Q26" s="3">
        <f t="shared" si="5"/>
        <v>0</v>
      </c>
      <c r="S26" s="38"/>
    </row>
    <row r="27" spans="1:19" s="20" customFormat="1" ht="22.5" hidden="1" customHeight="1" x14ac:dyDescent="0.4">
      <c r="A27" s="15"/>
      <c r="B27" s="118"/>
      <c r="C27" s="119"/>
      <c r="D27" s="120"/>
      <c r="E27" s="121" t="s">
        <v>22</v>
      </c>
      <c r="F27" s="121"/>
      <c r="G27" s="122">
        <f t="shared" ref="G27:O27" si="9">SUM(G28:G28)</f>
        <v>0</v>
      </c>
      <c r="H27" s="123">
        <f t="shared" si="9"/>
        <v>0</v>
      </c>
      <c r="I27" s="123">
        <f t="shared" si="9"/>
        <v>0</v>
      </c>
      <c r="J27" s="123">
        <f t="shared" si="9"/>
        <v>0</v>
      </c>
      <c r="K27" s="123">
        <f t="shared" si="9"/>
        <v>0</v>
      </c>
      <c r="L27" s="233" t="e">
        <f t="shared" si="2"/>
        <v>#DIV/0!</v>
      </c>
      <c r="M27" s="122">
        <f t="shared" si="9"/>
        <v>0</v>
      </c>
      <c r="N27" s="123">
        <f t="shared" si="9"/>
        <v>0</v>
      </c>
      <c r="O27" s="123">
        <f t="shared" si="9"/>
        <v>0</v>
      </c>
      <c r="P27" s="28"/>
      <c r="Q27" s="3">
        <f t="shared" si="5"/>
        <v>0</v>
      </c>
      <c r="S27" s="19"/>
    </row>
    <row r="28" spans="1:19" ht="21" hidden="1" customHeight="1" x14ac:dyDescent="0.4">
      <c r="A28" s="37"/>
      <c r="B28" s="30"/>
      <c r="C28" s="31" t="s">
        <v>15</v>
      </c>
      <c r="D28" s="32">
        <v>3132</v>
      </c>
      <c r="E28" s="31" t="s">
        <v>22</v>
      </c>
      <c r="F28" s="31"/>
      <c r="G28" s="116"/>
      <c r="H28" s="35"/>
      <c r="I28" s="35"/>
      <c r="J28" s="35"/>
      <c r="K28" s="35"/>
      <c r="L28" s="233" t="e">
        <f t="shared" si="2"/>
        <v>#DIV/0!</v>
      </c>
      <c r="M28" s="117">
        <f t="shared" ref="M28" si="10">J28-K28</f>
        <v>0</v>
      </c>
      <c r="N28" s="35"/>
      <c r="O28" s="35">
        <f t="shared" ref="O28" si="11">M28-N28</f>
        <v>0</v>
      </c>
      <c r="P28" s="36">
        <v>1</v>
      </c>
      <c r="Q28" s="3">
        <f t="shared" si="5"/>
        <v>0</v>
      </c>
    </row>
    <row r="29" spans="1:19" ht="21" hidden="1" customHeight="1" x14ac:dyDescent="0.4">
      <c r="A29" s="288" t="s">
        <v>23</v>
      </c>
      <c r="B29" s="289"/>
      <c r="C29" s="289"/>
      <c r="D29" s="289"/>
      <c r="E29" s="290"/>
      <c r="F29" s="232"/>
      <c r="G29" s="23">
        <f>SUM(G31:G41)</f>
        <v>0</v>
      </c>
      <c r="H29" s="233">
        <f t="shared" ref="H29:O29" si="12">SUM(H31:H41)</f>
        <v>0</v>
      </c>
      <c r="I29" s="233">
        <f t="shared" si="12"/>
        <v>0</v>
      </c>
      <c r="J29" s="233">
        <f t="shared" si="12"/>
        <v>0</v>
      </c>
      <c r="K29" s="233">
        <f t="shared" si="12"/>
        <v>0</v>
      </c>
      <c r="L29" s="233" t="e">
        <f t="shared" si="2"/>
        <v>#DIV/0!</v>
      </c>
      <c r="M29" s="23">
        <f t="shared" si="12"/>
        <v>0</v>
      </c>
      <c r="N29" s="233">
        <f t="shared" si="12"/>
        <v>0</v>
      </c>
      <c r="O29" s="233">
        <f t="shared" si="12"/>
        <v>0</v>
      </c>
      <c r="P29" s="39"/>
      <c r="Q29" s="3">
        <f t="shared" si="5"/>
        <v>0</v>
      </c>
    </row>
    <row r="30" spans="1:19" ht="19.5" hidden="1" customHeight="1" x14ac:dyDescent="0.4">
      <c r="A30" s="230"/>
      <c r="B30" s="231"/>
      <c r="C30" s="124">
        <v>6011</v>
      </c>
      <c r="D30" s="53">
        <v>3132</v>
      </c>
      <c r="E30" s="232" t="s">
        <v>24</v>
      </c>
      <c r="F30" s="232"/>
      <c r="G30" s="23">
        <f>G31+G38+G39+G40+G41</f>
        <v>0</v>
      </c>
      <c r="H30" s="233">
        <f t="shared" ref="H30:O30" si="13">H31+H38+H39+H40+H41</f>
        <v>0</v>
      </c>
      <c r="I30" s="233">
        <f t="shared" si="13"/>
        <v>0</v>
      </c>
      <c r="J30" s="233">
        <f t="shared" si="13"/>
        <v>0</v>
      </c>
      <c r="K30" s="233">
        <f t="shared" si="13"/>
        <v>0</v>
      </c>
      <c r="L30" s="233" t="e">
        <f t="shared" si="2"/>
        <v>#DIV/0!</v>
      </c>
      <c r="M30" s="23">
        <f t="shared" si="13"/>
        <v>0</v>
      </c>
      <c r="N30" s="233">
        <f t="shared" si="13"/>
        <v>0</v>
      </c>
      <c r="O30" s="233">
        <f t="shared" si="13"/>
        <v>0</v>
      </c>
      <c r="P30" s="39"/>
      <c r="Q30" s="3">
        <f t="shared" si="5"/>
        <v>0</v>
      </c>
    </row>
    <row r="31" spans="1:19" ht="22.5" hidden="1" customHeight="1" x14ac:dyDescent="0.4">
      <c r="A31" s="29">
        <v>6011</v>
      </c>
      <c r="B31" s="30" t="s">
        <v>25</v>
      </c>
      <c r="C31" s="34">
        <v>284040</v>
      </c>
      <c r="D31" s="32">
        <v>3132</v>
      </c>
      <c r="E31" s="40"/>
      <c r="F31" s="40"/>
      <c r="G31" s="116"/>
      <c r="H31" s="41"/>
      <c r="I31" s="35"/>
      <c r="J31" s="35"/>
      <c r="K31" s="35"/>
      <c r="L31" s="233" t="e">
        <f t="shared" si="2"/>
        <v>#DIV/0!</v>
      </c>
      <c r="M31" s="117">
        <f>J31-K31</f>
        <v>0</v>
      </c>
      <c r="N31" s="35"/>
      <c r="O31" s="35">
        <f>M31-N31</f>
        <v>0</v>
      </c>
      <c r="P31" s="36">
        <v>1</v>
      </c>
      <c r="Q31" s="3">
        <f t="shared" si="5"/>
        <v>0</v>
      </c>
    </row>
    <row r="32" spans="1:19" ht="19.5" hidden="1" customHeight="1" x14ac:dyDescent="0.4">
      <c r="A32" s="29">
        <v>6011</v>
      </c>
      <c r="B32" s="30" t="s">
        <v>26</v>
      </c>
      <c r="C32" s="34">
        <v>1003350</v>
      </c>
      <c r="D32" s="32">
        <v>3132</v>
      </c>
      <c r="E32" s="40"/>
      <c r="F32" s="40"/>
      <c r="G32" s="116"/>
      <c r="H32" s="41"/>
      <c r="I32" s="35"/>
      <c r="J32" s="35"/>
      <c r="K32" s="35"/>
      <c r="L32" s="233" t="e">
        <f t="shared" si="2"/>
        <v>#DIV/0!</v>
      </c>
      <c r="M32" s="117">
        <f t="shared" ref="M32:M41" si="14">J32-K32</f>
        <v>0</v>
      </c>
      <c r="N32" s="35"/>
      <c r="O32" s="35">
        <f t="shared" ref="O32:O41" si="15">M32-N32</f>
        <v>0</v>
      </c>
      <c r="P32" s="36">
        <v>2</v>
      </c>
      <c r="Q32" s="3">
        <f t="shared" si="5"/>
        <v>0</v>
      </c>
    </row>
    <row r="33" spans="1:19" ht="21" hidden="1" customHeight="1" x14ac:dyDescent="0.4">
      <c r="A33" s="29">
        <v>6011</v>
      </c>
      <c r="B33" s="30" t="s">
        <v>27</v>
      </c>
      <c r="C33" s="34">
        <v>107652</v>
      </c>
      <c r="D33" s="32">
        <v>3132</v>
      </c>
      <c r="E33" s="40"/>
      <c r="F33" s="40"/>
      <c r="G33" s="116"/>
      <c r="H33" s="41"/>
      <c r="I33" s="35"/>
      <c r="J33" s="35"/>
      <c r="K33" s="35"/>
      <c r="L33" s="233" t="e">
        <f t="shared" si="2"/>
        <v>#DIV/0!</v>
      </c>
      <c r="M33" s="117">
        <f t="shared" si="14"/>
        <v>0</v>
      </c>
      <c r="N33" s="35"/>
      <c r="O33" s="35">
        <f t="shared" si="15"/>
        <v>0</v>
      </c>
      <c r="P33" s="36">
        <v>3</v>
      </c>
      <c r="Q33" s="3">
        <f t="shared" si="5"/>
        <v>0</v>
      </c>
    </row>
    <row r="34" spans="1:19" ht="21" hidden="1" customHeight="1" x14ac:dyDescent="0.4">
      <c r="A34" s="29">
        <v>6011</v>
      </c>
      <c r="B34" s="30" t="s">
        <v>28</v>
      </c>
      <c r="C34" s="34">
        <v>1369032</v>
      </c>
      <c r="D34" s="32">
        <v>3132</v>
      </c>
      <c r="E34" s="40"/>
      <c r="F34" s="40"/>
      <c r="G34" s="116"/>
      <c r="H34" s="41"/>
      <c r="I34" s="35"/>
      <c r="J34" s="35"/>
      <c r="K34" s="35"/>
      <c r="L34" s="233" t="e">
        <f t="shared" si="2"/>
        <v>#DIV/0!</v>
      </c>
      <c r="M34" s="117">
        <f t="shared" si="14"/>
        <v>0</v>
      </c>
      <c r="N34" s="35"/>
      <c r="O34" s="35">
        <f t="shared" si="15"/>
        <v>0</v>
      </c>
      <c r="P34" s="36">
        <v>4</v>
      </c>
      <c r="Q34" s="3">
        <f t="shared" si="5"/>
        <v>0</v>
      </c>
    </row>
    <row r="35" spans="1:19" ht="28.5" hidden="1" customHeight="1" x14ac:dyDescent="0.4">
      <c r="A35" s="29">
        <v>6011</v>
      </c>
      <c r="B35" s="30" t="s">
        <v>29</v>
      </c>
      <c r="C35" s="34">
        <v>165708</v>
      </c>
      <c r="D35" s="32">
        <v>3132</v>
      </c>
      <c r="E35" s="40"/>
      <c r="F35" s="40"/>
      <c r="G35" s="116"/>
      <c r="H35" s="41"/>
      <c r="I35" s="35"/>
      <c r="J35" s="35"/>
      <c r="K35" s="35"/>
      <c r="L35" s="233" t="e">
        <f t="shared" si="2"/>
        <v>#DIV/0!</v>
      </c>
      <c r="M35" s="117">
        <f t="shared" si="14"/>
        <v>0</v>
      </c>
      <c r="N35" s="35"/>
      <c r="O35" s="35">
        <f t="shared" si="15"/>
        <v>0</v>
      </c>
      <c r="P35" s="36">
        <v>5</v>
      </c>
      <c r="Q35" s="3">
        <f t="shared" si="5"/>
        <v>0</v>
      </c>
    </row>
    <row r="36" spans="1:19" ht="28.5" hidden="1" customHeight="1" x14ac:dyDescent="0.4">
      <c r="A36" s="29">
        <v>6011</v>
      </c>
      <c r="B36" s="30" t="s">
        <v>30</v>
      </c>
      <c r="C36" s="34">
        <v>1058903</v>
      </c>
      <c r="D36" s="32">
        <v>3132</v>
      </c>
      <c r="E36" s="40"/>
      <c r="F36" s="40"/>
      <c r="G36" s="116"/>
      <c r="H36" s="41"/>
      <c r="I36" s="35"/>
      <c r="J36" s="35"/>
      <c r="K36" s="35"/>
      <c r="L36" s="233" t="e">
        <f t="shared" si="2"/>
        <v>#DIV/0!</v>
      </c>
      <c r="M36" s="117">
        <f t="shared" si="14"/>
        <v>0</v>
      </c>
      <c r="N36" s="35"/>
      <c r="O36" s="35">
        <f t="shared" si="15"/>
        <v>0</v>
      </c>
      <c r="P36" s="36">
        <v>6</v>
      </c>
      <c r="Q36" s="3">
        <f t="shared" si="5"/>
        <v>0</v>
      </c>
    </row>
    <row r="37" spans="1:19" ht="27" hidden="1" customHeight="1" x14ac:dyDescent="0.4">
      <c r="A37" s="29">
        <v>6011</v>
      </c>
      <c r="B37" s="30" t="s">
        <v>31</v>
      </c>
      <c r="C37" s="34">
        <v>424718</v>
      </c>
      <c r="D37" s="32">
        <v>3132</v>
      </c>
      <c r="E37" s="40"/>
      <c r="F37" s="40"/>
      <c r="G37" s="116"/>
      <c r="H37" s="41"/>
      <c r="I37" s="35"/>
      <c r="J37" s="35"/>
      <c r="K37" s="35"/>
      <c r="L37" s="233" t="e">
        <f t="shared" si="2"/>
        <v>#DIV/0!</v>
      </c>
      <c r="M37" s="117">
        <f t="shared" si="14"/>
        <v>0</v>
      </c>
      <c r="N37" s="35"/>
      <c r="O37" s="35">
        <f t="shared" si="15"/>
        <v>0</v>
      </c>
      <c r="P37" s="36">
        <v>7</v>
      </c>
      <c r="Q37" s="3">
        <f t="shared" si="5"/>
        <v>0</v>
      </c>
    </row>
    <row r="38" spans="1:19" ht="24" hidden="1" customHeight="1" x14ac:dyDescent="0.4">
      <c r="A38" s="29">
        <v>6011</v>
      </c>
      <c r="B38" s="30" t="s">
        <v>32</v>
      </c>
      <c r="C38" s="34">
        <v>693233</v>
      </c>
      <c r="D38" s="32">
        <v>3132</v>
      </c>
      <c r="E38" s="40"/>
      <c r="F38" s="40"/>
      <c r="G38" s="116"/>
      <c r="H38" s="41"/>
      <c r="I38" s="35"/>
      <c r="J38" s="35"/>
      <c r="K38" s="35"/>
      <c r="L38" s="233" t="e">
        <f t="shared" si="2"/>
        <v>#DIV/0!</v>
      </c>
      <c r="M38" s="117">
        <f t="shared" si="14"/>
        <v>0</v>
      </c>
      <c r="N38" s="35"/>
      <c r="O38" s="35">
        <f t="shared" si="15"/>
        <v>0</v>
      </c>
      <c r="P38" s="36">
        <v>8</v>
      </c>
      <c r="Q38" s="3">
        <f t="shared" si="5"/>
        <v>0</v>
      </c>
    </row>
    <row r="39" spans="1:19" ht="15" hidden="1" customHeight="1" x14ac:dyDescent="0.4">
      <c r="A39" s="29">
        <v>6011</v>
      </c>
      <c r="B39" s="30" t="s">
        <v>33</v>
      </c>
      <c r="C39" s="34">
        <v>1559280</v>
      </c>
      <c r="D39" s="32">
        <v>3132</v>
      </c>
      <c r="E39" s="40"/>
      <c r="F39" s="40"/>
      <c r="G39" s="116"/>
      <c r="H39" s="41"/>
      <c r="I39" s="35"/>
      <c r="J39" s="35"/>
      <c r="K39" s="35"/>
      <c r="L39" s="233" t="e">
        <f t="shared" si="2"/>
        <v>#DIV/0!</v>
      </c>
      <c r="M39" s="117">
        <f t="shared" si="14"/>
        <v>0</v>
      </c>
      <c r="N39" s="35"/>
      <c r="O39" s="35">
        <f t="shared" si="15"/>
        <v>0</v>
      </c>
      <c r="P39" s="36">
        <v>9</v>
      </c>
      <c r="Q39" s="3">
        <f t="shared" si="5"/>
        <v>0</v>
      </c>
    </row>
    <row r="40" spans="1:19" ht="18" hidden="1" customHeight="1" x14ac:dyDescent="0.4">
      <c r="A40" s="29">
        <v>6011</v>
      </c>
      <c r="B40" s="30" t="s">
        <v>34</v>
      </c>
      <c r="C40" s="34">
        <v>200000</v>
      </c>
      <c r="D40" s="32">
        <v>3132</v>
      </c>
      <c r="E40" s="40"/>
      <c r="F40" s="40"/>
      <c r="G40" s="116"/>
      <c r="H40" s="41"/>
      <c r="I40" s="35"/>
      <c r="J40" s="35"/>
      <c r="K40" s="35"/>
      <c r="L40" s="233" t="e">
        <f t="shared" si="2"/>
        <v>#DIV/0!</v>
      </c>
      <c r="M40" s="117">
        <f t="shared" si="14"/>
        <v>0</v>
      </c>
      <c r="N40" s="35"/>
      <c r="O40" s="35">
        <f t="shared" si="15"/>
        <v>0</v>
      </c>
      <c r="P40" s="36">
        <v>10</v>
      </c>
      <c r="Q40" s="3">
        <f t="shared" si="5"/>
        <v>0</v>
      </c>
    </row>
    <row r="41" spans="1:19" ht="25.5" hidden="1" customHeight="1" x14ac:dyDescent="0.4">
      <c r="A41" s="29">
        <v>6011</v>
      </c>
      <c r="B41" s="30" t="s">
        <v>35</v>
      </c>
      <c r="C41" s="34">
        <v>132000</v>
      </c>
      <c r="D41" s="32">
        <v>3132</v>
      </c>
      <c r="E41" s="40"/>
      <c r="F41" s="40"/>
      <c r="G41" s="116"/>
      <c r="H41" s="41"/>
      <c r="I41" s="35"/>
      <c r="J41" s="35"/>
      <c r="K41" s="35"/>
      <c r="L41" s="233" t="e">
        <f t="shared" si="2"/>
        <v>#DIV/0!</v>
      </c>
      <c r="M41" s="117">
        <f t="shared" si="14"/>
        <v>0</v>
      </c>
      <c r="N41" s="35"/>
      <c r="O41" s="35">
        <f t="shared" si="15"/>
        <v>0</v>
      </c>
      <c r="P41" s="36">
        <v>11</v>
      </c>
      <c r="Q41" s="3">
        <f t="shared" si="5"/>
        <v>0</v>
      </c>
    </row>
    <row r="42" spans="1:19" ht="1.2" hidden="1" customHeight="1" x14ac:dyDescent="0.4">
      <c r="A42" s="14" t="s">
        <v>36</v>
      </c>
      <c r="B42" s="120">
        <v>3131</v>
      </c>
      <c r="C42" s="14"/>
      <c r="D42" s="120"/>
      <c r="E42" s="14"/>
      <c r="F42" s="14"/>
      <c r="G42" s="125">
        <f>G43+G49</f>
        <v>109187600</v>
      </c>
      <c r="H42" s="126">
        <v>74384506</v>
      </c>
      <c r="I42" s="126">
        <f t="shared" ref="I42:O42" si="16">I43+I49</f>
        <v>55775671.509999998</v>
      </c>
      <c r="J42" s="126">
        <f>J43+J49</f>
        <v>28690084.581374858</v>
      </c>
      <c r="K42" s="126">
        <f>K43+K49</f>
        <v>55775671.510000005</v>
      </c>
      <c r="L42" s="233">
        <f t="shared" si="2"/>
        <v>51.082422830064957</v>
      </c>
      <c r="M42" s="125">
        <f>M43+M49</f>
        <v>29803094</v>
      </c>
      <c r="N42" s="126">
        <f t="shared" si="16"/>
        <v>5000000</v>
      </c>
      <c r="O42" s="126">
        <f t="shared" si="16"/>
        <v>26454150</v>
      </c>
      <c r="Q42" s="3">
        <f t="shared" si="5"/>
        <v>24721843.908625148</v>
      </c>
      <c r="R42" s="3">
        <f>I49-K49</f>
        <v>0</v>
      </c>
    </row>
    <row r="43" spans="1:19" ht="55.5" hidden="1" customHeight="1" x14ac:dyDescent="0.4">
      <c r="A43" s="21">
        <v>6011</v>
      </c>
      <c r="B43" s="108" t="s">
        <v>37</v>
      </c>
      <c r="C43" s="14" t="s">
        <v>15</v>
      </c>
      <c r="D43" s="120">
        <v>3131</v>
      </c>
      <c r="E43" s="14" t="s">
        <v>38</v>
      </c>
      <c r="F43" s="14"/>
      <c r="G43" s="125">
        <f t="shared" ref="G43:O43" si="17">G44+G47</f>
        <v>0</v>
      </c>
      <c r="H43" s="126">
        <f t="shared" si="17"/>
        <v>4143074</v>
      </c>
      <c r="I43" s="126">
        <f t="shared" si="17"/>
        <v>0</v>
      </c>
      <c r="J43" s="126">
        <f t="shared" si="17"/>
        <v>0</v>
      </c>
      <c r="K43" s="126">
        <f t="shared" si="17"/>
        <v>0</v>
      </c>
      <c r="L43" s="233" t="e">
        <f t="shared" si="2"/>
        <v>#DIV/0!</v>
      </c>
      <c r="M43" s="125">
        <f t="shared" si="17"/>
        <v>0</v>
      </c>
      <c r="N43" s="126">
        <f t="shared" si="17"/>
        <v>0</v>
      </c>
      <c r="O43" s="126">
        <f t="shared" si="17"/>
        <v>0</v>
      </c>
      <c r="Q43" s="3"/>
    </row>
    <row r="44" spans="1:19" ht="69" hidden="1" customHeight="1" x14ac:dyDescent="0.4">
      <c r="A44" s="14" t="s">
        <v>36</v>
      </c>
      <c r="B44" s="108" t="s">
        <v>37</v>
      </c>
      <c r="C44" s="14" t="s">
        <v>15</v>
      </c>
      <c r="D44" s="120">
        <v>3131</v>
      </c>
      <c r="E44" s="14" t="s">
        <v>39</v>
      </c>
      <c r="F44" s="14"/>
      <c r="G44" s="125">
        <f>SUM(G45:G46)</f>
        <v>0</v>
      </c>
      <c r="H44" s="126">
        <f t="shared" ref="H44:O44" si="18">H45+H46</f>
        <v>3654000</v>
      </c>
      <c r="I44" s="126">
        <f t="shared" si="18"/>
        <v>0</v>
      </c>
      <c r="J44" s="126">
        <f t="shared" si="18"/>
        <v>0</v>
      </c>
      <c r="K44" s="126">
        <f t="shared" si="18"/>
        <v>0</v>
      </c>
      <c r="L44" s="233" t="e">
        <f t="shared" si="2"/>
        <v>#DIV/0!</v>
      </c>
      <c r="M44" s="125">
        <f t="shared" si="18"/>
        <v>0</v>
      </c>
      <c r="N44" s="126">
        <f t="shared" si="18"/>
        <v>0</v>
      </c>
      <c r="O44" s="126">
        <f t="shared" si="18"/>
        <v>0</v>
      </c>
      <c r="Q44" s="3">
        <f t="shared" ref="Q44:Q86" si="19">G44-J44-I44</f>
        <v>0</v>
      </c>
    </row>
    <row r="45" spans="1:19" ht="52.5" hidden="1" customHeight="1" x14ac:dyDescent="0.4">
      <c r="A45" s="14"/>
      <c r="B45" s="127"/>
      <c r="C45" s="31" t="s">
        <v>15</v>
      </c>
      <c r="D45" s="32">
        <v>3131</v>
      </c>
      <c r="E45" s="31" t="s">
        <v>40</v>
      </c>
      <c r="F45" s="31"/>
      <c r="G45" s="128"/>
      <c r="H45" s="129">
        <v>1540781</v>
      </c>
      <c r="I45" s="42"/>
      <c r="J45" s="42"/>
      <c r="K45" s="42"/>
      <c r="L45" s="233" t="e">
        <f t="shared" si="2"/>
        <v>#DIV/0!</v>
      </c>
      <c r="M45" s="130">
        <f>J45-K45</f>
        <v>0</v>
      </c>
      <c r="N45" s="42"/>
      <c r="O45" s="42">
        <f>M45-N45</f>
        <v>0</v>
      </c>
      <c r="P45" s="5">
        <v>1</v>
      </c>
      <c r="Q45" s="3">
        <f t="shared" si="19"/>
        <v>0</v>
      </c>
      <c r="S45" s="3">
        <f>H45-G45</f>
        <v>1540781</v>
      </c>
    </row>
    <row r="46" spans="1:19" ht="48" hidden="1" customHeight="1" x14ac:dyDescent="0.4">
      <c r="A46" s="14"/>
      <c r="B46" s="127"/>
      <c r="C46" s="31"/>
      <c r="D46" s="32"/>
      <c r="E46" s="31"/>
      <c r="F46" s="31"/>
      <c r="G46" s="128"/>
      <c r="H46" s="129">
        <v>2113219</v>
      </c>
      <c r="I46" s="42"/>
      <c r="J46" s="42"/>
      <c r="K46" s="42"/>
      <c r="L46" s="233" t="e">
        <f t="shared" si="2"/>
        <v>#DIV/0!</v>
      </c>
      <c r="M46" s="130">
        <f>J46-K46</f>
        <v>0</v>
      </c>
      <c r="N46" s="42"/>
      <c r="O46" s="42">
        <f>M46-N46</f>
        <v>0</v>
      </c>
      <c r="P46" s="5">
        <v>2</v>
      </c>
      <c r="Q46" s="3">
        <f t="shared" si="19"/>
        <v>0</v>
      </c>
    </row>
    <row r="47" spans="1:19" ht="51" hidden="1" customHeight="1" x14ac:dyDescent="0.4">
      <c r="A47" s="14" t="s">
        <v>36</v>
      </c>
      <c r="B47" s="108" t="s">
        <v>37</v>
      </c>
      <c r="C47" s="14" t="s">
        <v>15</v>
      </c>
      <c r="D47" s="120">
        <v>3131</v>
      </c>
      <c r="E47" s="14" t="s">
        <v>41</v>
      </c>
      <c r="F47" s="14"/>
      <c r="G47" s="131">
        <f>SUM(G48)</f>
        <v>0</v>
      </c>
      <c r="H47" s="132">
        <f t="shared" ref="H47:O47" si="20">SUM(H48)</f>
        <v>489074</v>
      </c>
      <c r="I47" s="132">
        <f t="shared" si="20"/>
        <v>0</v>
      </c>
      <c r="J47" s="132">
        <f t="shared" si="20"/>
        <v>0</v>
      </c>
      <c r="K47" s="132">
        <f t="shared" si="20"/>
        <v>0</v>
      </c>
      <c r="L47" s="233" t="e">
        <f t="shared" si="2"/>
        <v>#DIV/0!</v>
      </c>
      <c r="M47" s="131">
        <f t="shared" si="20"/>
        <v>0</v>
      </c>
      <c r="N47" s="132">
        <f t="shared" si="20"/>
        <v>0</v>
      </c>
      <c r="O47" s="132">
        <f t="shared" si="20"/>
        <v>0</v>
      </c>
      <c r="Q47" s="3">
        <f t="shared" si="19"/>
        <v>0</v>
      </c>
    </row>
    <row r="48" spans="1:19" ht="60" hidden="1" customHeight="1" x14ac:dyDescent="0.4">
      <c r="A48" s="43"/>
      <c r="B48" s="127"/>
      <c r="C48" s="31" t="s">
        <v>15</v>
      </c>
      <c r="D48" s="32">
        <v>3131</v>
      </c>
      <c r="E48" s="31" t="s">
        <v>42</v>
      </c>
      <c r="F48" s="31"/>
      <c r="G48" s="128"/>
      <c r="H48" s="44">
        <v>489074</v>
      </c>
      <c r="I48" s="46"/>
      <c r="J48" s="46"/>
      <c r="K48" s="46"/>
      <c r="L48" s="233" t="e">
        <f t="shared" si="2"/>
        <v>#DIV/0!</v>
      </c>
      <c r="M48" s="133">
        <f>J48-K48</f>
        <v>0</v>
      </c>
      <c r="N48" s="46"/>
      <c r="O48" s="42">
        <f t="shared" ref="O48" si="21">M48-N48</f>
        <v>0</v>
      </c>
      <c r="P48" s="5">
        <v>1</v>
      </c>
      <c r="Q48" s="3">
        <f t="shared" si="19"/>
        <v>0</v>
      </c>
    </row>
    <row r="49" spans="1:17" ht="48" hidden="1" customHeight="1" x14ac:dyDescent="0.4">
      <c r="A49" s="21">
        <v>6011</v>
      </c>
      <c r="B49" s="108" t="s">
        <v>14</v>
      </c>
      <c r="C49" s="14" t="s">
        <v>15</v>
      </c>
      <c r="D49" s="120">
        <v>3131</v>
      </c>
      <c r="E49" s="14" t="s">
        <v>43</v>
      </c>
      <c r="F49" s="14"/>
      <c r="G49" s="125">
        <f>G52+G71+G87+G90+G155+G177</f>
        <v>109187600</v>
      </c>
      <c r="H49" s="126">
        <f>H52+H71+H87+H90+H155+H177</f>
        <v>70104775.349999994</v>
      </c>
      <c r="I49" s="126">
        <f>I52+I71+I87+I90+I155+I177</f>
        <v>55775671.509999998</v>
      </c>
      <c r="J49" s="126">
        <f>J52+J71+J87+J90+J155+J177</f>
        <v>28690084.581374858</v>
      </c>
      <c r="K49" s="126">
        <f>K52+K71+K87+K90+K155+K177</f>
        <v>55775671.510000005</v>
      </c>
      <c r="L49" s="233">
        <f t="shared" si="2"/>
        <v>51.082422830064957</v>
      </c>
      <c r="M49" s="125">
        <f>M52+M71+M87+M90+M155+M177</f>
        <v>29803094</v>
      </c>
      <c r="N49" s="126">
        <f>N52+N71+N87+N90+N155+N177</f>
        <v>5000000</v>
      </c>
      <c r="O49" s="126">
        <f>O52+O71+O87+O90+O155+O177</f>
        <v>26454150</v>
      </c>
      <c r="Q49" s="3">
        <f t="shared" si="19"/>
        <v>24721843.908625148</v>
      </c>
    </row>
    <row r="50" spans="1:17" ht="57" hidden="1" customHeight="1" x14ac:dyDescent="0.4">
      <c r="A50" s="14" t="s">
        <v>36</v>
      </c>
      <c r="B50" s="108" t="s">
        <v>44</v>
      </c>
      <c r="C50" s="14" t="s">
        <v>15</v>
      </c>
      <c r="D50" s="120">
        <v>3131</v>
      </c>
      <c r="E50" s="14" t="s">
        <v>45</v>
      </c>
      <c r="F50" s="14"/>
      <c r="G50" s="134">
        <f>SUM(G51)</f>
        <v>0</v>
      </c>
      <c r="H50" s="135">
        <f t="shared" ref="H50:O50" si="22">SUM(H51)</f>
        <v>0</v>
      </c>
      <c r="I50" s="135">
        <f t="shared" si="22"/>
        <v>0</v>
      </c>
      <c r="J50" s="135">
        <f t="shared" si="22"/>
        <v>0</v>
      </c>
      <c r="K50" s="135">
        <f t="shared" si="22"/>
        <v>0</v>
      </c>
      <c r="L50" s="233" t="e">
        <f t="shared" si="2"/>
        <v>#DIV/0!</v>
      </c>
      <c r="M50" s="134">
        <f t="shared" si="22"/>
        <v>0</v>
      </c>
      <c r="N50" s="135">
        <f t="shared" si="22"/>
        <v>0</v>
      </c>
      <c r="O50" s="135">
        <f t="shared" si="22"/>
        <v>0</v>
      </c>
      <c r="Q50" s="3">
        <f t="shared" si="19"/>
        <v>0</v>
      </c>
    </row>
    <row r="51" spans="1:17" ht="49.5" hidden="1" customHeight="1" x14ac:dyDescent="0.4">
      <c r="A51" s="43"/>
      <c r="B51" s="127"/>
      <c r="C51" s="31" t="s">
        <v>15</v>
      </c>
      <c r="D51" s="32">
        <v>3131</v>
      </c>
      <c r="E51" s="31" t="s">
        <v>45</v>
      </c>
      <c r="F51" s="31"/>
      <c r="G51" s="128"/>
      <c r="H51" s="44"/>
      <c r="I51" s="46"/>
      <c r="J51" s="46"/>
      <c r="K51" s="46"/>
      <c r="L51" s="233" t="e">
        <f t="shared" si="2"/>
        <v>#DIV/0!</v>
      </c>
      <c r="M51" s="133">
        <f>J51-K51</f>
        <v>0</v>
      </c>
      <c r="N51" s="46"/>
      <c r="O51" s="42">
        <f t="shared" ref="O51" si="23">M51-N51</f>
        <v>0</v>
      </c>
      <c r="P51" s="5">
        <v>1</v>
      </c>
      <c r="Q51" s="3">
        <f t="shared" si="19"/>
        <v>0</v>
      </c>
    </row>
    <row r="52" spans="1:17" ht="87.6" customHeight="1" x14ac:dyDescent="0.4">
      <c r="A52" s="14" t="s">
        <v>36</v>
      </c>
      <c r="B52" s="108" t="s">
        <v>44</v>
      </c>
      <c r="C52" s="120" t="s">
        <v>15</v>
      </c>
      <c r="D52" s="120">
        <v>3131</v>
      </c>
      <c r="E52" s="14" t="s">
        <v>274</v>
      </c>
      <c r="F52" s="14"/>
      <c r="G52" s="131">
        <f>SUM(G53:G70)</f>
        <v>23437500</v>
      </c>
      <c r="H52" s="132">
        <f>SUM(H53:H70)</f>
        <v>20523960</v>
      </c>
      <c r="I52" s="132">
        <f>SUM(I53:I70)</f>
        <v>18302681.859999999</v>
      </c>
      <c r="J52" s="132">
        <f t="shared" ref="J52:K52" si="24">SUM(J53:J70)</f>
        <v>2221278.14</v>
      </c>
      <c r="K52" s="132">
        <f t="shared" si="24"/>
        <v>18302681.859999999</v>
      </c>
      <c r="L52" s="233">
        <f t="shared" si="2"/>
        <v>78.09144260266666</v>
      </c>
      <c r="M52" s="131">
        <f>SUM(M53:M70)</f>
        <v>2913540</v>
      </c>
      <c r="N52" s="132">
        <f>SUM(N53:N70)</f>
        <v>0</v>
      </c>
      <c r="O52" s="132"/>
      <c r="Q52" s="3">
        <f t="shared" si="19"/>
        <v>2913540</v>
      </c>
    </row>
    <row r="53" spans="1:17" ht="67.5" customHeight="1" x14ac:dyDescent="0.4">
      <c r="A53" s="45">
        <v>1</v>
      </c>
      <c r="B53" s="55" t="s">
        <v>46</v>
      </c>
      <c r="C53" s="281" t="s">
        <v>15</v>
      </c>
      <c r="D53" s="32">
        <v>3131</v>
      </c>
      <c r="E53" s="291" t="s">
        <v>47</v>
      </c>
      <c r="F53" s="237"/>
      <c r="G53" s="136">
        <v>1000000</v>
      </c>
      <c r="H53" s="46">
        <v>1000000</v>
      </c>
      <c r="I53" s="46"/>
      <c r="J53" s="46">
        <f t="shared" ref="J53:J63" si="25">H53-I53</f>
        <v>1000000</v>
      </c>
      <c r="K53" s="46"/>
      <c r="L53" s="233">
        <f t="shared" si="2"/>
        <v>0</v>
      </c>
      <c r="M53" s="130"/>
      <c r="N53" s="46"/>
      <c r="O53" s="42">
        <f t="shared" ref="O53:O54" si="26">M53-N53</f>
        <v>0</v>
      </c>
      <c r="Q53" s="3">
        <f t="shared" si="19"/>
        <v>0</v>
      </c>
    </row>
    <row r="54" spans="1:17" ht="67.5" customHeight="1" x14ac:dyDescent="0.4">
      <c r="A54" s="45">
        <v>2</v>
      </c>
      <c r="B54" s="55" t="s">
        <v>48</v>
      </c>
      <c r="C54" s="282"/>
      <c r="D54" s="32">
        <v>3131</v>
      </c>
      <c r="E54" s="282"/>
      <c r="F54" s="227"/>
      <c r="G54" s="136">
        <v>1000000</v>
      </c>
      <c r="H54" s="46">
        <v>1000000</v>
      </c>
      <c r="I54" s="46"/>
      <c r="J54" s="46">
        <f t="shared" si="25"/>
        <v>1000000</v>
      </c>
      <c r="K54" s="46"/>
      <c r="L54" s="233">
        <f t="shared" si="2"/>
        <v>0</v>
      </c>
      <c r="M54" s="130"/>
      <c r="N54" s="46"/>
      <c r="O54" s="42">
        <f t="shared" si="26"/>
        <v>0</v>
      </c>
      <c r="Q54" s="3">
        <f t="shared" si="19"/>
        <v>0</v>
      </c>
    </row>
    <row r="55" spans="1:17" ht="75" customHeight="1" x14ac:dyDescent="0.4">
      <c r="A55" s="45">
        <v>3</v>
      </c>
      <c r="B55" s="47" t="s">
        <v>200</v>
      </c>
      <c r="C55" s="282"/>
      <c r="D55" s="32">
        <v>3131</v>
      </c>
      <c r="E55" s="282"/>
      <c r="F55" s="227"/>
      <c r="G55" s="137">
        <v>1451500</v>
      </c>
      <c r="H55" s="44">
        <f>77449+1331108</f>
        <v>1408557</v>
      </c>
      <c r="I55" s="46">
        <v>1408556.1</v>
      </c>
      <c r="J55" s="46">
        <f>H55-I55</f>
        <v>0.89999999990686774</v>
      </c>
      <c r="K55" s="46">
        <v>1408556.1</v>
      </c>
      <c r="L55" s="233">
        <f t="shared" si="2"/>
        <v>97.04141233207028</v>
      </c>
      <c r="M55" s="130">
        <v>42943</v>
      </c>
      <c r="N55" s="46"/>
      <c r="O55" s="42">
        <f>M55-N55</f>
        <v>42943</v>
      </c>
      <c r="Q55" s="3">
        <f t="shared" si="19"/>
        <v>42943</v>
      </c>
    </row>
    <row r="56" spans="1:17" ht="75" customHeight="1" x14ac:dyDescent="0.4">
      <c r="A56" s="45">
        <v>4</v>
      </c>
      <c r="B56" s="47" t="s">
        <v>49</v>
      </c>
      <c r="C56" s="282"/>
      <c r="D56" s="32">
        <v>3131</v>
      </c>
      <c r="E56" s="282"/>
      <c r="F56" s="227"/>
      <c r="G56" s="137">
        <v>1450000</v>
      </c>
      <c r="H56" s="44">
        <v>1421626</v>
      </c>
      <c r="I56" s="46">
        <v>1421625.78</v>
      </c>
      <c r="J56" s="46">
        <f t="shared" si="25"/>
        <v>0.21999999997206032</v>
      </c>
      <c r="K56" s="46">
        <v>1421625.78</v>
      </c>
      <c r="L56" s="233">
        <f t="shared" si="2"/>
        <v>98.043157241379305</v>
      </c>
      <c r="M56" s="130">
        <v>28374</v>
      </c>
      <c r="N56" s="46"/>
      <c r="O56" s="42">
        <f t="shared" ref="O56:O70" si="27">M56-N56</f>
        <v>28374</v>
      </c>
      <c r="Q56" s="3">
        <f t="shared" si="19"/>
        <v>28374</v>
      </c>
    </row>
    <row r="57" spans="1:17" ht="75" customHeight="1" x14ac:dyDescent="0.4">
      <c r="A57" s="45">
        <v>5</v>
      </c>
      <c r="B57" s="47" t="s">
        <v>50</v>
      </c>
      <c r="C57" s="282"/>
      <c r="D57" s="32">
        <v>3131</v>
      </c>
      <c r="E57" s="282"/>
      <c r="F57" s="227"/>
      <c r="G57" s="137">
        <v>1450000</v>
      </c>
      <c r="H57" s="44">
        <v>1410250</v>
      </c>
      <c r="I57" s="46">
        <v>1410249.15</v>
      </c>
      <c r="J57" s="46">
        <f t="shared" si="25"/>
        <v>0.85000000009313226</v>
      </c>
      <c r="K57" s="46">
        <v>1410249.15</v>
      </c>
      <c r="L57" s="233">
        <f t="shared" si="2"/>
        <v>97.258562068965517</v>
      </c>
      <c r="M57" s="130">
        <v>39750</v>
      </c>
      <c r="N57" s="46"/>
      <c r="O57" s="42">
        <f t="shared" si="27"/>
        <v>39750</v>
      </c>
      <c r="Q57" s="3">
        <f t="shared" si="19"/>
        <v>39750</v>
      </c>
    </row>
    <row r="58" spans="1:17" ht="75" customHeight="1" x14ac:dyDescent="0.4">
      <c r="A58" s="45">
        <v>6</v>
      </c>
      <c r="B58" s="47" t="s">
        <v>51</v>
      </c>
      <c r="C58" s="282"/>
      <c r="D58" s="32">
        <v>3131</v>
      </c>
      <c r="E58" s="282"/>
      <c r="F58" s="227"/>
      <c r="G58" s="137">
        <v>1450000</v>
      </c>
      <c r="H58" s="44">
        <v>1429270</v>
      </c>
      <c r="I58" s="46">
        <v>1429269.71</v>
      </c>
      <c r="J58" s="46">
        <f t="shared" si="25"/>
        <v>0.2900000000372529</v>
      </c>
      <c r="K58" s="46">
        <v>1429269.71</v>
      </c>
      <c r="L58" s="233">
        <f t="shared" si="2"/>
        <v>98.570324827586205</v>
      </c>
      <c r="M58" s="130">
        <v>20730</v>
      </c>
      <c r="N58" s="46"/>
      <c r="O58" s="42">
        <f t="shared" si="27"/>
        <v>20730</v>
      </c>
      <c r="Q58" s="3">
        <f t="shared" si="19"/>
        <v>20730</v>
      </c>
    </row>
    <row r="59" spans="1:17" ht="75" customHeight="1" x14ac:dyDescent="0.4">
      <c r="A59" s="45">
        <v>7</v>
      </c>
      <c r="B59" s="47" t="s">
        <v>52</v>
      </c>
      <c r="C59" s="282"/>
      <c r="D59" s="32">
        <v>3131</v>
      </c>
      <c r="E59" s="282"/>
      <c r="F59" s="227"/>
      <c r="G59" s="137">
        <v>1498500</v>
      </c>
      <c r="H59" s="44">
        <v>1482148</v>
      </c>
      <c r="I59" s="46">
        <v>1482147.18</v>
      </c>
      <c r="J59" s="46">
        <f t="shared" si="25"/>
        <v>0.82000000006519258</v>
      </c>
      <c r="K59" s="46">
        <v>1482147.18</v>
      </c>
      <c r="L59" s="233">
        <f t="shared" si="2"/>
        <v>98.908720720720709</v>
      </c>
      <c r="M59" s="130">
        <v>16352</v>
      </c>
      <c r="N59" s="46"/>
      <c r="O59" s="42">
        <f t="shared" si="27"/>
        <v>16352</v>
      </c>
      <c r="Q59" s="3">
        <f t="shared" si="19"/>
        <v>16352</v>
      </c>
    </row>
    <row r="60" spans="1:17" ht="75" customHeight="1" x14ac:dyDescent="0.4">
      <c r="A60" s="45">
        <v>8</v>
      </c>
      <c r="B60" s="47" t="s">
        <v>53</v>
      </c>
      <c r="C60" s="282"/>
      <c r="D60" s="32">
        <v>3131</v>
      </c>
      <c r="E60" s="282"/>
      <c r="F60" s="227"/>
      <c r="G60" s="137">
        <v>1498500</v>
      </c>
      <c r="H60" s="44">
        <v>1483167</v>
      </c>
      <c r="I60" s="46">
        <v>1483166.73</v>
      </c>
      <c r="J60" s="46">
        <f t="shared" si="25"/>
        <v>0.27000000001862645</v>
      </c>
      <c r="K60" s="46">
        <v>1483166.73</v>
      </c>
      <c r="L60" s="233">
        <f t="shared" si="2"/>
        <v>98.976758758758749</v>
      </c>
      <c r="M60" s="130">
        <v>15333</v>
      </c>
      <c r="N60" s="46"/>
      <c r="O60" s="42">
        <f t="shared" si="27"/>
        <v>15333</v>
      </c>
      <c r="Q60" s="3">
        <f t="shared" si="19"/>
        <v>15333</v>
      </c>
    </row>
    <row r="61" spans="1:17" ht="75" customHeight="1" x14ac:dyDescent="0.4">
      <c r="A61" s="45">
        <v>9</v>
      </c>
      <c r="B61" s="47" t="s">
        <v>54</v>
      </c>
      <c r="C61" s="282"/>
      <c r="D61" s="32">
        <v>3131</v>
      </c>
      <c r="E61" s="282"/>
      <c r="F61" s="227"/>
      <c r="G61" s="137">
        <v>1450000</v>
      </c>
      <c r="H61" s="44">
        <v>221269</v>
      </c>
      <c r="I61" s="46"/>
      <c r="J61" s="46">
        <f t="shared" si="25"/>
        <v>221269</v>
      </c>
      <c r="K61" s="46"/>
      <c r="L61" s="233">
        <f t="shared" si="2"/>
        <v>0</v>
      </c>
      <c r="M61" s="130">
        <v>1228731</v>
      </c>
      <c r="N61" s="46"/>
      <c r="O61" s="42">
        <f t="shared" si="27"/>
        <v>1228731</v>
      </c>
      <c r="Q61" s="3">
        <f t="shared" si="19"/>
        <v>1228731</v>
      </c>
    </row>
    <row r="62" spans="1:17" ht="75" customHeight="1" x14ac:dyDescent="0.4">
      <c r="A62" s="45">
        <v>10</v>
      </c>
      <c r="B62" s="47" t="s">
        <v>55</v>
      </c>
      <c r="C62" s="282"/>
      <c r="D62" s="32">
        <v>3131</v>
      </c>
      <c r="E62" s="282"/>
      <c r="F62" s="227"/>
      <c r="G62" s="137">
        <v>1450000</v>
      </c>
      <c r="H62" s="44">
        <f>32977-32977</f>
        <v>0</v>
      </c>
      <c r="I62" s="46"/>
      <c r="J62" s="46">
        <f t="shared" si="25"/>
        <v>0</v>
      </c>
      <c r="K62" s="46"/>
      <c r="L62" s="233">
        <f t="shared" si="2"/>
        <v>0</v>
      </c>
      <c r="M62" s="130">
        <v>1450000</v>
      </c>
      <c r="N62" s="46"/>
      <c r="O62" s="42">
        <f t="shared" si="27"/>
        <v>1450000</v>
      </c>
      <c r="Q62" s="3">
        <f t="shared" si="19"/>
        <v>1450000</v>
      </c>
    </row>
    <row r="63" spans="1:17" ht="75" customHeight="1" x14ac:dyDescent="0.4">
      <c r="A63" s="45">
        <v>11</v>
      </c>
      <c r="B63" s="47" t="s">
        <v>201</v>
      </c>
      <c r="C63" s="282"/>
      <c r="D63" s="32">
        <v>3131</v>
      </c>
      <c r="E63" s="282"/>
      <c r="F63" s="227"/>
      <c r="G63" s="137">
        <f>1450000-450000</f>
        <v>1000000</v>
      </c>
      <c r="H63" s="44">
        <f>32977+946164</f>
        <v>979141</v>
      </c>
      <c r="I63" s="46">
        <v>979140.43</v>
      </c>
      <c r="J63" s="46">
        <f t="shared" si="25"/>
        <v>0.56999999994877726</v>
      </c>
      <c r="K63" s="46">
        <v>979140.43</v>
      </c>
      <c r="L63" s="233">
        <f t="shared" si="2"/>
        <v>97.914043000000007</v>
      </c>
      <c r="M63" s="130">
        <v>20859</v>
      </c>
      <c r="N63" s="46"/>
      <c r="O63" s="42">
        <f t="shared" si="27"/>
        <v>20859</v>
      </c>
      <c r="Q63" s="3">
        <f t="shared" si="19"/>
        <v>20859</v>
      </c>
    </row>
    <row r="64" spans="1:17" ht="75" customHeight="1" x14ac:dyDescent="0.4">
      <c r="A64" s="45">
        <v>12</v>
      </c>
      <c r="B64" s="47" t="s">
        <v>56</v>
      </c>
      <c r="C64" s="282"/>
      <c r="D64" s="32">
        <v>3131</v>
      </c>
      <c r="E64" s="282"/>
      <c r="F64" s="227"/>
      <c r="G64" s="137">
        <v>950000</v>
      </c>
      <c r="H64" s="44">
        <v>942051</v>
      </c>
      <c r="I64" s="46">
        <v>942050.03</v>
      </c>
      <c r="J64" s="46">
        <f>H64-I64</f>
        <v>0.96999999997206032</v>
      </c>
      <c r="K64" s="46">
        <v>942050.03</v>
      </c>
      <c r="L64" s="233">
        <f t="shared" si="2"/>
        <v>99.16316105263158</v>
      </c>
      <c r="M64" s="130">
        <v>7949</v>
      </c>
      <c r="N64" s="46"/>
      <c r="O64" s="42">
        <f t="shared" si="27"/>
        <v>7949</v>
      </c>
      <c r="Q64" s="3">
        <f t="shared" si="19"/>
        <v>7949</v>
      </c>
    </row>
    <row r="65" spans="1:18" ht="75" customHeight="1" x14ac:dyDescent="0.4">
      <c r="A65" s="45">
        <v>13</v>
      </c>
      <c r="B65" s="48" t="s">
        <v>57</v>
      </c>
      <c r="C65" s="282"/>
      <c r="D65" s="32">
        <v>3131</v>
      </c>
      <c r="E65" s="282"/>
      <c r="F65" s="227"/>
      <c r="G65" s="137">
        <v>1498500</v>
      </c>
      <c r="H65" s="44">
        <v>1488010</v>
      </c>
      <c r="I65" s="46">
        <f>32976.84+1455032.21</f>
        <v>1488009.05</v>
      </c>
      <c r="J65" s="46">
        <f t="shared" ref="J65:J70" si="28">H65-I65</f>
        <v>0.94999999995343387</v>
      </c>
      <c r="K65" s="46">
        <v>1488009.05</v>
      </c>
      <c r="L65" s="233">
        <f t="shared" si="2"/>
        <v>99.299903236569904</v>
      </c>
      <c r="M65" s="130">
        <v>10490</v>
      </c>
      <c r="N65" s="46"/>
      <c r="O65" s="42">
        <f t="shared" si="27"/>
        <v>10490</v>
      </c>
      <c r="Q65" s="3">
        <f t="shared" si="19"/>
        <v>10490</v>
      </c>
    </row>
    <row r="66" spans="1:18" ht="75" customHeight="1" x14ac:dyDescent="0.4">
      <c r="A66" s="45">
        <v>14</v>
      </c>
      <c r="B66" s="48" t="s">
        <v>58</v>
      </c>
      <c r="C66" s="282"/>
      <c r="D66" s="32">
        <v>3131</v>
      </c>
      <c r="E66" s="282"/>
      <c r="F66" s="227"/>
      <c r="G66" s="137">
        <f>1450000-92000</f>
        <v>1358000</v>
      </c>
      <c r="H66" s="44">
        <v>1357729</v>
      </c>
      <c r="I66" s="46">
        <v>1357728.14</v>
      </c>
      <c r="J66" s="46">
        <f t="shared" si="28"/>
        <v>0.86000000010244548</v>
      </c>
      <c r="K66" s="46">
        <v>1357728.14</v>
      </c>
      <c r="L66" s="233">
        <f t="shared" si="2"/>
        <v>99.979980854197336</v>
      </c>
      <c r="M66" s="130">
        <v>271</v>
      </c>
      <c r="N66" s="46"/>
      <c r="O66" s="42">
        <f t="shared" si="27"/>
        <v>271</v>
      </c>
      <c r="Q66" s="3">
        <f t="shared" si="19"/>
        <v>271</v>
      </c>
    </row>
    <row r="67" spans="1:18" ht="75" customHeight="1" x14ac:dyDescent="0.4">
      <c r="A67" s="45">
        <v>15</v>
      </c>
      <c r="B67" s="48" t="s">
        <v>59</v>
      </c>
      <c r="C67" s="282"/>
      <c r="D67" s="32">
        <v>3131</v>
      </c>
      <c r="E67" s="282"/>
      <c r="F67" s="227"/>
      <c r="G67" s="137">
        <v>1450000</v>
      </c>
      <c r="H67" s="44">
        <v>1437424</v>
      </c>
      <c r="I67" s="46">
        <v>1437423.71</v>
      </c>
      <c r="J67" s="46">
        <f t="shared" si="28"/>
        <v>0.2900000000372529</v>
      </c>
      <c r="K67" s="46">
        <v>1437423.71</v>
      </c>
      <c r="L67" s="233">
        <f t="shared" si="2"/>
        <v>99.132669655172407</v>
      </c>
      <c r="M67" s="130">
        <v>12576</v>
      </c>
      <c r="N67" s="46"/>
      <c r="O67" s="42">
        <f t="shared" si="27"/>
        <v>12576</v>
      </c>
      <c r="Q67" s="3">
        <f t="shared" si="19"/>
        <v>12576</v>
      </c>
    </row>
    <row r="68" spans="1:18" ht="75" customHeight="1" x14ac:dyDescent="0.4">
      <c r="A68" s="45">
        <v>16</v>
      </c>
      <c r="B68" s="48" t="s">
        <v>60</v>
      </c>
      <c r="C68" s="282"/>
      <c r="D68" s="32">
        <v>3131</v>
      </c>
      <c r="E68" s="282"/>
      <c r="F68" s="227"/>
      <c r="G68" s="137">
        <v>1498500</v>
      </c>
      <c r="H68" s="44">
        <v>1487013</v>
      </c>
      <c r="I68" s="46">
        <v>1487012.88</v>
      </c>
      <c r="J68" s="46">
        <f t="shared" si="28"/>
        <v>0.12000000011175871</v>
      </c>
      <c r="K68" s="46">
        <v>1487012.88</v>
      </c>
      <c r="L68" s="233">
        <f t="shared" si="2"/>
        <v>99.233425425425409</v>
      </c>
      <c r="M68" s="130">
        <v>11487</v>
      </c>
      <c r="N68" s="46"/>
      <c r="O68" s="42">
        <f t="shared" si="27"/>
        <v>11487</v>
      </c>
      <c r="Q68" s="3">
        <f t="shared" si="19"/>
        <v>11487</v>
      </c>
    </row>
    <row r="69" spans="1:18" ht="75" customHeight="1" x14ac:dyDescent="0.4">
      <c r="A69" s="45">
        <v>17</v>
      </c>
      <c r="B69" s="48" t="s">
        <v>61</v>
      </c>
      <c r="C69" s="282"/>
      <c r="D69" s="32">
        <v>3130</v>
      </c>
      <c r="E69" s="282"/>
      <c r="F69" s="227"/>
      <c r="G69" s="137">
        <f>1450000-450000</f>
        <v>1000000</v>
      </c>
      <c r="H69" s="44">
        <v>992357</v>
      </c>
      <c r="I69" s="46">
        <v>992356.28</v>
      </c>
      <c r="J69" s="46">
        <f t="shared" si="28"/>
        <v>0.71999999997206032</v>
      </c>
      <c r="K69" s="46">
        <v>992356.28</v>
      </c>
      <c r="L69" s="233">
        <f t="shared" si="2"/>
        <v>99.235627999999991</v>
      </c>
      <c r="M69" s="130">
        <v>7643</v>
      </c>
      <c r="N69" s="46"/>
      <c r="O69" s="42">
        <f t="shared" si="27"/>
        <v>7643</v>
      </c>
      <c r="Q69" s="3">
        <f t="shared" si="19"/>
        <v>7643</v>
      </c>
    </row>
    <row r="70" spans="1:18" ht="75" customHeight="1" x14ac:dyDescent="0.4">
      <c r="A70" s="45">
        <v>18</v>
      </c>
      <c r="B70" s="47" t="s">
        <v>62</v>
      </c>
      <c r="C70" s="283"/>
      <c r="D70" s="32">
        <v>3131</v>
      </c>
      <c r="E70" s="283"/>
      <c r="F70" s="228"/>
      <c r="G70" s="137">
        <f>1450000-466000</f>
        <v>984000</v>
      </c>
      <c r="H70" s="44">
        <v>983948</v>
      </c>
      <c r="I70" s="46">
        <v>983946.69</v>
      </c>
      <c r="J70" s="46">
        <f t="shared" si="28"/>
        <v>1.3100000000558794</v>
      </c>
      <c r="K70" s="46">
        <v>983946.69</v>
      </c>
      <c r="L70" s="233">
        <f t="shared" si="2"/>
        <v>99.994582317073167</v>
      </c>
      <c r="M70" s="130">
        <v>52</v>
      </c>
      <c r="N70" s="46"/>
      <c r="O70" s="42">
        <f t="shared" si="27"/>
        <v>52</v>
      </c>
      <c r="Q70" s="3">
        <f t="shared" si="19"/>
        <v>52</v>
      </c>
    </row>
    <row r="71" spans="1:18" ht="100.5" customHeight="1" x14ac:dyDescent="0.4">
      <c r="A71" s="58">
        <v>6011</v>
      </c>
      <c r="B71" s="43" t="s">
        <v>63</v>
      </c>
      <c r="C71" s="14" t="s">
        <v>15</v>
      </c>
      <c r="D71" s="120">
        <v>3131</v>
      </c>
      <c r="E71" s="14" t="s">
        <v>64</v>
      </c>
      <c r="F71" s="14"/>
      <c r="G71" s="131">
        <f>SUM(G72:G86)</f>
        <v>18700000</v>
      </c>
      <c r="H71" s="132">
        <f>SUM(H72:H86)</f>
        <v>13760183</v>
      </c>
      <c r="I71" s="132">
        <f>SUM(I72:I86)</f>
        <v>12672011.249999998</v>
      </c>
      <c r="J71" s="132">
        <f>SUM(J72:J86)</f>
        <v>1088171.7500000005</v>
      </c>
      <c r="K71" s="132">
        <f>SUM(K72:K86)</f>
        <v>12672011.249999998</v>
      </c>
      <c r="L71" s="233">
        <f t="shared" si="2"/>
        <v>67.764766042780749</v>
      </c>
      <c r="M71" s="131">
        <f>SUM(M72:M86)</f>
        <v>4939817</v>
      </c>
      <c r="N71" s="132">
        <f>SUM(N72:N86)</f>
        <v>0</v>
      </c>
      <c r="O71" s="132"/>
      <c r="Q71" s="3">
        <f t="shared" si="19"/>
        <v>4939817.0000000019</v>
      </c>
      <c r="R71" s="3">
        <f>I71-K71</f>
        <v>0</v>
      </c>
    </row>
    <row r="72" spans="1:18" ht="76.5" customHeight="1" x14ac:dyDescent="0.4">
      <c r="A72" s="45">
        <v>1</v>
      </c>
      <c r="B72" s="48" t="s">
        <v>65</v>
      </c>
      <c r="C72" s="278" t="s">
        <v>15</v>
      </c>
      <c r="D72" s="32">
        <v>3131</v>
      </c>
      <c r="E72" s="292" t="s">
        <v>64</v>
      </c>
      <c r="F72" s="235"/>
      <c r="G72" s="138">
        <v>1560000</v>
      </c>
      <c r="H72" s="44"/>
      <c r="I72" s="46"/>
      <c r="J72" s="46">
        <f t="shared" ref="J72:J75" si="29">H72-I72</f>
        <v>0</v>
      </c>
      <c r="K72" s="46"/>
      <c r="L72" s="233">
        <f t="shared" si="2"/>
        <v>0</v>
      </c>
      <c r="M72" s="130">
        <v>1560000</v>
      </c>
      <c r="N72" s="46"/>
      <c r="O72" s="42">
        <f t="shared" ref="O72:O86" si="30">M72-N72</f>
        <v>1560000</v>
      </c>
      <c r="Q72" s="3">
        <f t="shared" si="19"/>
        <v>1560000</v>
      </c>
    </row>
    <row r="73" spans="1:18" ht="64.5" customHeight="1" x14ac:dyDescent="0.4">
      <c r="A73" s="45">
        <v>2</v>
      </c>
      <c r="B73" s="48" t="s">
        <v>66</v>
      </c>
      <c r="C73" s="279"/>
      <c r="D73" s="32">
        <v>3131</v>
      </c>
      <c r="E73" s="282"/>
      <c r="F73" s="227"/>
      <c r="G73" s="138">
        <v>1100000</v>
      </c>
      <c r="H73" s="44">
        <f>32977-32977</f>
        <v>0</v>
      </c>
      <c r="I73" s="46"/>
      <c r="J73" s="46">
        <f t="shared" si="29"/>
        <v>0</v>
      </c>
      <c r="K73" s="46"/>
      <c r="L73" s="233">
        <f t="shared" si="2"/>
        <v>0</v>
      </c>
      <c r="M73" s="130">
        <v>1100000</v>
      </c>
      <c r="N73" s="46"/>
      <c r="O73" s="42">
        <f t="shared" si="30"/>
        <v>1100000</v>
      </c>
      <c r="Q73" s="3">
        <f t="shared" si="19"/>
        <v>1100000</v>
      </c>
    </row>
    <row r="74" spans="1:18" ht="64.5" customHeight="1" x14ac:dyDescent="0.4">
      <c r="A74" s="45">
        <v>3</v>
      </c>
      <c r="B74" s="48" t="s">
        <v>67</v>
      </c>
      <c r="C74" s="279"/>
      <c r="D74" s="32">
        <v>3135</v>
      </c>
      <c r="E74" s="282"/>
      <c r="F74" s="227"/>
      <c r="G74" s="138">
        <v>1400000</v>
      </c>
      <c r="H74" s="44">
        <v>1381478</v>
      </c>
      <c r="I74" s="46">
        <v>1381477.52</v>
      </c>
      <c r="J74" s="46">
        <f t="shared" si="29"/>
        <v>0.47999999998137355</v>
      </c>
      <c r="K74" s="46">
        <v>1381477.52</v>
      </c>
      <c r="L74" s="233">
        <f t="shared" si="2"/>
        <v>98.676965714285714</v>
      </c>
      <c r="M74" s="130">
        <v>18522</v>
      </c>
      <c r="N74" s="46"/>
      <c r="O74" s="42">
        <f t="shared" si="30"/>
        <v>18522</v>
      </c>
      <c r="Q74" s="3">
        <f t="shared" si="19"/>
        <v>18522</v>
      </c>
    </row>
    <row r="75" spans="1:18" ht="64.5" customHeight="1" x14ac:dyDescent="0.4">
      <c r="A75" s="45">
        <v>4</v>
      </c>
      <c r="B75" s="48" t="s">
        <v>68</v>
      </c>
      <c r="C75" s="279"/>
      <c r="D75" s="32">
        <v>3131</v>
      </c>
      <c r="E75" s="282"/>
      <c r="F75" s="227"/>
      <c r="G75" s="138">
        <v>1400000</v>
      </c>
      <c r="H75" s="44">
        <v>1301767</v>
      </c>
      <c r="I75" s="46">
        <v>1301766.6299999999</v>
      </c>
      <c r="J75" s="46">
        <f t="shared" si="29"/>
        <v>0.37000000011175871</v>
      </c>
      <c r="K75" s="46">
        <v>1301766.6299999999</v>
      </c>
      <c r="L75" s="233">
        <f t="shared" si="2"/>
        <v>92.9833307142857</v>
      </c>
      <c r="M75" s="130">
        <v>98233</v>
      </c>
      <c r="N75" s="46"/>
      <c r="O75" s="42">
        <f t="shared" si="30"/>
        <v>98233</v>
      </c>
      <c r="Q75" s="3">
        <f t="shared" si="19"/>
        <v>98233</v>
      </c>
    </row>
    <row r="76" spans="1:18" ht="64.5" customHeight="1" x14ac:dyDescent="0.4">
      <c r="A76" s="45">
        <v>5</v>
      </c>
      <c r="B76" s="48" t="s">
        <v>69</v>
      </c>
      <c r="C76" s="279"/>
      <c r="D76" s="32">
        <v>3131</v>
      </c>
      <c r="E76" s="282"/>
      <c r="F76" s="227"/>
      <c r="G76" s="133">
        <v>1600000</v>
      </c>
      <c r="H76" s="46">
        <v>1581360</v>
      </c>
      <c r="I76" s="46">
        <v>1581358.64</v>
      </c>
      <c r="J76" s="46">
        <f>H76-I76</f>
        <v>1.3600000001024455</v>
      </c>
      <c r="K76" s="46">
        <v>1581358.64</v>
      </c>
      <c r="L76" s="233">
        <f>K76/G76*100</f>
        <v>98.834914999999995</v>
      </c>
      <c r="M76" s="130">
        <v>18640</v>
      </c>
      <c r="N76" s="46"/>
      <c r="O76" s="42">
        <f>M76-N76</f>
        <v>18640</v>
      </c>
      <c r="Q76" s="3">
        <f t="shared" si="19"/>
        <v>18640</v>
      </c>
    </row>
    <row r="77" spans="1:18" ht="64.5" customHeight="1" x14ac:dyDescent="0.4">
      <c r="A77" s="45">
        <v>6</v>
      </c>
      <c r="B77" s="48" t="s">
        <v>70</v>
      </c>
      <c r="C77" s="279"/>
      <c r="D77" s="32">
        <v>3131</v>
      </c>
      <c r="E77" s="282"/>
      <c r="F77" s="227"/>
      <c r="G77" s="138">
        <v>1450000</v>
      </c>
      <c r="H77" s="44">
        <f>1401621+32977</f>
        <v>1434598</v>
      </c>
      <c r="I77" s="46">
        <v>1434597.06</v>
      </c>
      <c r="J77" s="46">
        <f>H77-I77</f>
        <v>0.93999999994412065</v>
      </c>
      <c r="K77" s="46">
        <v>1434597.06</v>
      </c>
      <c r="L77" s="233">
        <f t="shared" si="2"/>
        <v>98.937728275862071</v>
      </c>
      <c r="M77" s="130">
        <v>15402</v>
      </c>
      <c r="N77" s="46"/>
      <c r="O77" s="42">
        <f t="shared" si="30"/>
        <v>15402</v>
      </c>
      <c r="Q77" s="3">
        <f t="shared" si="19"/>
        <v>15402</v>
      </c>
    </row>
    <row r="78" spans="1:18" ht="64.5" customHeight="1" x14ac:dyDescent="0.4">
      <c r="A78" s="45">
        <v>7</v>
      </c>
      <c r="B78" s="48" t="s">
        <v>71</v>
      </c>
      <c r="C78" s="279"/>
      <c r="D78" s="32">
        <v>3131</v>
      </c>
      <c r="E78" s="282"/>
      <c r="F78" s="227"/>
      <c r="G78" s="138">
        <v>1400000</v>
      </c>
      <c r="H78" s="44">
        <v>919815</v>
      </c>
      <c r="I78" s="46">
        <v>919814.39</v>
      </c>
      <c r="J78" s="46">
        <f>H78-I78</f>
        <v>0.60999999998603016</v>
      </c>
      <c r="K78" s="46">
        <v>919814.39</v>
      </c>
      <c r="L78" s="233">
        <f t="shared" si="2"/>
        <v>65.701027857142861</v>
      </c>
      <c r="M78" s="130">
        <v>480185</v>
      </c>
      <c r="N78" s="46"/>
      <c r="O78" s="42">
        <f t="shared" si="30"/>
        <v>480185</v>
      </c>
      <c r="Q78" s="3">
        <f t="shared" si="19"/>
        <v>480185.00000000012</v>
      </c>
    </row>
    <row r="79" spans="1:18" ht="64.5" customHeight="1" x14ac:dyDescent="0.4">
      <c r="A79" s="45">
        <v>8</v>
      </c>
      <c r="B79" s="48" t="s">
        <v>72</v>
      </c>
      <c r="C79" s="279"/>
      <c r="D79" s="32">
        <v>3131</v>
      </c>
      <c r="E79" s="282"/>
      <c r="F79" s="227"/>
      <c r="G79" s="138">
        <v>1300000</v>
      </c>
      <c r="H79" s="44">
        <v>1285583</v>
      </c>
      <c r="I79" s="46">
        <v>1285582.68</v>
      </c>
      <c r="J79" s="46">
        <f t="shared" ref="J79:J85" si="31">H79-I79</f>
        <v>0.32000000006519258</v>
      </c>
      <c r="K79" s="46">
        <v>1285582.68</v>
      </c>
      <c r="L79" s="233">
        <f t="shared" si="2"/>
        <v>98.890975384615373</v>
      </c>
      <c r="M79" s="130">
        <v>14417</v>
      </c>
      <c r="N79" s="46"/>
      <c r="O79" s="42">
        <f t="shared" si="30"/>
        <v>14417</v>
      </c>
      <c r="Q79" s="3">
        <f t="shared" si="19"/>
        <v>14417</v>
      </c>
    </row>
    <row r="80" spans="1:18" ht="64.5" customHeight="1" x14ac:dyDescent="0.4">
      <c r="A80" s="45">
        <v>9</v>
      </c>
      <c r="B80" s="48" t="s">
        <v>73</v>
      </c>
      <c r="C80" s="279"/>
      <c r="D80" s="32">
        <v>3131</v>
      </c>
      <c r="E80" s="282"/>
      <c r="F80" s="227"/>
      <c r="G80" s="138">
        <f>2300000-1000000</f>
        <v>1300000</v>
      </c>
      <c r="H80" s="44">
        <f>32977+772796+315370</f>
        <v>1121143</v>
      </c>
      <c r="I80" s="46">
        <v>32976.839999999997</v>
      </c>
      <c r="J80" s="46">
        <f t="shared" si="31"/>
        <v>1088166.1599999999</v>
      </c>
      <c r="K80" s="46">
        <v>32976.839999999997</v>
      </c>
      <c r="L80" s="233">
        <f t="shared" si="2"/>
        <v>2.53668</v>
      </c>
      <c r="M80" s="130">
        <v>178857</v>
      </c>
      <c r="N80" s="46"/>
      <c r="O80" s="42">
        <f t="shared" si="30"/>
        <v>178857</v>
      </c>
      <c r="Q80" s="3">
        <f t="shared" si="19"/>
        <v>178857.00000000009</v>
      </c>
    </row>
    <row r="81" spans="1:17" ht="64.5" customHeight="1" x14ac:dyDescent="0.4">
      <c r="A81" s="45">
        <v>10</v>
      </c>
      <c r="B81" s="48" t="s">
        <v>74</v>
      </c>
      <c r="C81" s="279"/>
      <c r="D81" s="32">
        <v>3131</v>
      </c>
      <c r="E81" s="282"/>
      <c r="F81" s="227"/>
      <c r="G81" s="138">
        <v>600000</v>
      </c>
      <c r="H81" s="44">
        <v>493192</v>
      </c>
      <c r="I81" s="46">
        <v>493191.11</v>
      </c>
      <c r="J81" s="46">
        <f t="shared" si="31"/>
        <v>0.89000000001396984</v>
      </c>
      <c r="K81" s="46">
        <v>493191.11</v>
      </c>
      <c r="L81" s="233">
        <f t="shared" si="2"/>
        <v>82.198518333333325</v>
      </c>
      <c r="M81" s="130">
        <v>106808</v>
      </c>
      <c r="N81" s="46"/>
      <c r="O81" s="42">
        <f t="shared" si="30"/>
        <v>106808</v>
      </c>
      <c r="Q81" s="3">
        <f t="shared" si="19"/>
        <v>106808</v>
      </c>
    </row>
    <row r="82" spans="1:17" ht="64.5" customHeight="1" x14ac:dyDescent="0.4">
      <c r="A82" s="45">
        <v>11</v>
      </c>
      <c r="B82" s="48" t="s">
        <v>75</v>
      </c>
      <c r="C82" s="279"/>
      <c r="D82" s="32">
        <v>3133</v>
      </c>
      <c r="E82" s="282"/>
      <c r="F82" s="227"/>
      <c r="G82" s="138">
        <v>1100000</v>
      </c>
      <c r="H82" s="44">
        <v>1093406</v>
      </c>
      <c r="I82" s="46">
        <v>1093405.74</v>
      </c>
      <c r="J82" s="46">
        <f t="shared" si="31"/>
        <v>0.26000000000931323</v>
      </c>
      <c r="K82" s="46">
        <v>1093405.74</v>
      </c>
      <c r="L82" s="233">
        <f t="shared" ref="L82:L145" si="32">K82/G82*100</f>
        <v>99.400521818181815</v>
      </c>
      <c r="M82" s="130">
        <v>6594</v>
      </c>
      <c r="N82" s="46"/>
      <c r="O82" s="42">
        <f t="shared" si="30"/>
        <v>6594</v>
      </c>
      <c r="Q82" s="3">
        <f t="shared" si="19"/>
        <v>6594</v>
      </c>
    </row>
    <row r="83" spans="1:17" ht="64.5" customHeight="1" x14ac:dyDescent="0.4">
      <c r="A83" s="45">
        <v>12</v>
      </c>
      <c r="B83" s="48" t="s">
        <v>76</v>
      </c>
      <c r="C83" s="279"/>
      <c r="D83" s="32">
        <v>3134</v>
      </c>
      <c r="E83" s="282"/>
      <c r="F83" s="227"/>
      <c r="G83" s="138">
        <v>1200000</v>
      </c>
      <c r="H83" s="44">
        <v>1192701</v>
      </c>
      <c r="I83" s="46">
        <v>1192700.76</v>
      </c>
      <c r="J83" s="46">
        <f t="shared" si="31"/>
        <v>0.23999999999068677</v>
      </c>
      <c r="K83" s="46">
        <v>1192700.76</v>
      </c>
      <c r="L83" s="233">
        <f t="shared" si="32"/>
        <v>99.391729999999995</v>
      </c>
      <c r="M83" s="130">
        <v>7299</v>
      </c>
      <c r="N83" s="46"/>
      <c r="O83" s="42">
        <f t="shared" si="30"/>
        <v>7299</v>
      </c>
      <c r="Q83" s="3">
        <f t="shared" si="19"/>
        <v>7299</v>
      </c>
    </row>
    <row r="84" spans="1:17" ht="64.5" customHeight="1" x14ac:dyDescent="0.4">
      <c r="A84" s="45">
        <v>13</v>
      </c>
      <c r="B84" s="48" t="s">
        <v>77</v>
      </c>
      <c r="C84" s="279"/>
      <c r="D84" s="32">
        <v>3131</v>
      </c>
      <c r="E84" s="282"/>
      <c r="F84" s="227"/>
      <c r="G84" s="138">
        <v>995000</v>
      </c>
      <c r="H84" s="44">
        <v>977570</v>
      </c>
      <c r="I84" s="46">
        <v>977569.94</v>
      </c>
      <c r="J84" s="46">
        <f t="shared" si="31"/>
        <v>6.0000000055879354E-2</v>
      </c>
      <c r="K84" s="46">
        <v>977569.94</v>
      </c>
      <c r="L84" s="233">
        <f t="shared" si="32"/>
        <v>98.248235175879401</v>
      </c>
      <c r="M84" s="130">
        <v>17430</v>
      </c>
      <c r="N84" s="46"/>
      <c r="O84" s="42">
        <f t="shared" si="30"/>
        <v>17430</v>
      </c>
      <c r="Q84" s="3">
        <f t="shared" si="19"/>
        <v>17430</v>
      </c>
    </row>
    <row r="85" spans="1:17" ht="64.5" customHeight="1" x14ac:dyDescent="0.4">
      <c r="A85" s="45">
        <v>14</v>
      </c>
      <c r="B85" s="48" t="s">
        <v>78</v>
      </c>
      <c r="C85" s="279"/>
      <c r="D85" s="32">
        <v>3131</v>
      </c>
      <c r="E85" s="282"/>
      <c r="F85" s="227"/>
      <c r="G85" s="138">
        <v>995000</v>
      </c>
      <c r="H85" s="44">
        <v>977570</v>
      </c>
      <c r="I85" s="46">
        <v>977569.94</v>
      </c>
      <c r="J85" s="46">
        <f t="shared" si="31"/>
        <v>6.0000000055879354E-2</v>
      </c>
      <c r="K85" s="46">
        <v>977569.94</v>
      </c>
      <c r="L85" s="233">
        <f t="shared" si="32"/>
        <v>98.248235175879401</v>
      </c>
      <c r="M85" s="130">
        <v>17430</v>
      </c>
      <c r="N85" s="46"/>
      <c r="O85" s="42">
        <f t="shared" si="30"/>
        <v>17430</v>
      </c>
      <c r="Q85" s="3">
        <f t="shared" si="19"/>
        <v>17430</v>
      </c>
    </row>
    <row r="86" spans="1:17" ht="64.5" customHeight="1" x14ac:dyDescent="0.4">
      <c r="A86" s="45">
        <v>15</v>
      </c>
      <c r="B86" s="48" t="s">
        <v>79</v>
      </c>
      <c r="C86" s="280"/>
      <c r="D86" s="32">
        <v>3132</v>
      </c>
      <c r="E86" s="283"/>
      <c r="F86" s="228"/>
      <c r="G86" s="138">
        <v>1300000</v>
      </c>
      <c r="H86" s="44"/>
      <c r="I86" s="46"/>
      <c r="J86" s="46">
        <f>H86-I86</f>
        <v>0</v>
      </c>
      <c r="K86" s="46"/>
      <c r="L86" s="233">
        <f t="shared" si="32"/>
        <v>0</v>
      </c>
      <c r="M86" s="130">
        <v>1300000</v>
      </c>
      <c r="N86" s="46"/>
      <c r="O86" s="42">
        <f t="shared" si="30"/>
        <v>1300000</v>
      </c>
      <c r="Q86" s="3">
        <f t="shared" si="19"/>
        <v>1300000</v>
      </c>
    </row>
    <row r="87" spans="1:17" ht="94.5" customHeight="1" x14ac:dyDescent="0.4">
      <c r="A87" s="58">
        <v>6011</v>
      </c>
      <c r="B87" s="43" t="s">
        <v>63</v>
      </c>
      <c r="C87" s="14" t="s">
        <v>15</v>
      </c>
      <c r="D87" s="120">
        <v>3131</v>
      </c>
      <c r="E87" s="14" t="s">
        <v>275</v>
      </c>
      <c r="F87" s="14"/>
      <c r="G87" s="131">
        <f>SUM(G88:G89)</f>
        <v>10694500</v>
      </c>
      <c r="H87" s="132">
        <f t="shared" ref="H87:O87" si="33">SUM(H88:H89)</f>
        <v>10694500</v>
      </c>
      <c r="I87" s="132">
        <f t="shared" si="33"/>
        <v>0</v>
      </c>
      <c r="J87" s="132">
        <f t="shared" si="33"/>
        <v>10694500</v>
      </c>
      <c r="K87" s="132">
        <f t="shared" si="33"/>
        <v>0</v>
      </c>
      <c r="L87" s="233">
        <f t="shared" si="32"/>
        <v>0</v>
      </c>
      <c r="M87" s="131">
        <f t="shared" si="33"/>
        <v>0</v>
      </c>
      <c r="N87" s="132">
        <f t="shared" si="33"/>
        <v>0</v>
      </c>
      <c r="O87" s="132">
        <f t="shared" si="33"/>
        <v>0</v>
      </c>
      <c r="Q87" s="3"/>
    </row>
    <row r="88" spans="1:17" ht="64.5" customHeight="1" x14ac:dyDescent="0.4">
      <c r="A88" s="45">
        <v>1</v>
      </c>
      <c r="B88" s="48" t="s">
        <v>80</v>
      </c>
      <c r="C88" s="278" t="s">
        <v>15</v>
      </c>
      <c r="D88" s="32">
        <v>3131</v>
      </c>
      <c r="E88" s="292" t="s">
        <v>275</v>
      </c>
      <c r="F88" s="235"/>
      <c r="G88" s="138">
        <f>8228366-2723171</f>
        <v>5505195</v>
      </c>
      <c r="H88" s="26">
        <f>8228366-2723171</f>
        <v>5505195</v>
      </c>
      <c r="I88" s="46"/>
      <c r="J88" s="46">
        <f>H88-I88</f>
        <v>5505195</v>
      </c>
      <c r="K88" s="46"/>
      <c r="L88" s="233">
        <f t="shared" si="32"/>
        <v>0</v>
      </c>
      <c r="M88" s="130"/>
      <c r="N88" s="46"/>
      <c r="O88" s="46">
        <f t="shared" ref="O88:O89" si="34">M88-N88</f>
        <v>0</v>
      </c>
      <c r="Q88" s="3">
        <f t="shared" ref="Q88:Q148" si="35">G88-J88-I88</f>
        <v>0</v>
      </c>
    </row>
    <row r="89" spans="1:17" ht="64.5" customHeight="1" x14ac:dyDescent="0.4">
      <c r="A89" s="45">
        <v>2</v>
      </c>
      <c r="B89" s="48" t="s">
        <v>81</v>
      </c>
      <c r="C89" s="280"/>
      <c r="D89" s="32">
        <v>3131</v>
      </c>
      <c r="E89" s="283"/>
      <c r="F89" s="228"/>
      <c r="G89" s="138">
        <f>7912475-2723170</f>
        <v>5189305</v>
      </c>
      <c r="H89" s="26">
        <f>7912475-2723170</f>
        <v>5189305</v>
      </c>
      <c r="I89" s="46"/>
      <c r="J89" s="46">
        <f>H89-I89</f>
        <v>5189305</v>
      </c>
      <c r="K89" s="46"/>
      <c r="L89" s="233">
        <f t="shared" si="32"/>
        <v>0</v>
      </c>
      <c r="M89" s="130"/>
      <c r="N89" s="46"/>
      <c r="O89" s="46">
        <f t="shared" si="34"/>
        <v>0</v>
      </c>
      <c r="Q89" s="3">
        <f t="shared" si="35"/>
        <v>0</v>
      </c>
    </row>
    <row r="90" spans="1:17" ht="46.5" customHeight="1" x14ac:dyDescent="0.4">
      <c r="A90" s="58">
        <v>6011</v>
      </c>
      <c r="B90" s="43" t="s">
        <v>63</v>
      </c>
      <c r="C90" s="14" t="s">
        <v>15</v>
      </c>
      <c r="D90" s="120">
        <v>3131</v>
      </c>
      <c r="E90" s="14" t="s">
        <v>276</v>
      </c>
      <c r="F90" s="14"/>
      <c r="G90" s="139">
        <f>SUM(G91:G154)</f>
        <v>23000000</v>
      </c>
      <c r="H90" s="14">
        <f>SUM(H91:H154)</f>
        <v>1058627</v>
      </c>
      <c r="I90" s="14">
        <f>SUM(I91:I154)</f>
        <v>733477.41999999993</v>
      </c>
      <c r="J90" s="14">
        <f>SUM(J91:J154)</f>
        <v>325149.58000000007</v>
      </c>
      <c r="K90" s="14">
        <f>SUM(K91:K154)</f>
        <v>733477.41999999993</v>
      </c>
      <c r="L90" s="233">
        <f t="shared" si="32"/>
        <v>3.1890322608695647</v>
      </c>
      <c r="M90" s="139">
        <f>SUM(M91:M154)</f>
        <v>16941373</v>
      </c>
      <c r="N90" s="14">
        <f>SUM(N91:N154)</f>
        <v>5000000</v>
      </c>
      <c r="O90" s="14">
        <f>M90+N90+H90</f>
        <v>23000000</v>
      </c>
      <c r="Q90" s="3">
        <f t="shared" si="35"/>
        <v>21941373</v>
      </c>
    </row>
    <row r="91" spans="1:17" ht="37.5" customHeight="1" x14ac:dyDescent="0.4">
      <c r="A91" s="49">
        <v>1</v>
      </c>
      <c r="B91" s="50" t="s">
        <v>82</v>
      </c>
      <c r="C91" s="278" t="s">
        <v>15</v>
      </c>
      <c r="D91" s="32">
        <v>3131</v>
      </c>
      <c r="E91" s="281" t="s">
        <v>276</v>
      </c>
      <c r="F91" s="245"/>
      <c r="G91" s="140">
        <v>350000</v>
      </c>
      <c r="H91" s="40"/>
      <c r="I91" s="40"/>
      <c r="J91" s="40">
        <f>H91-I91</f>
        <v>0</v>
      </c>
      <c r="K91" s="94"/>
      <c r="L91" s="233">
        <f t="shared" si="32"/>
        <v>0</v>
      </c>
      <c r="M91" s="130"/>
      <c r="N91" s="40">
        <v>350000</v>
      </c>
      <c r="O91" s="42">
        <f t="shared" ref="O91:O143" si="36">M91-N91</f>
        <v>-350000</v>
      </c>
      <c r="Q91" s="3">
        <f t="shared" si="35"/>
        <v>350000</v>
      </c>
    </row>
    <row r="92" spans="1:17" ht="37.5" customHeight="1" x14ac:dyDescent="0.4">
      <c r="A92" s="49">
        <v>2</v>
      </c>
      <c r="B92" s="51" t="s">
        <v>83</v>
      </c>
      <c r="C92" s="279"/>
      <c r="D92" s="32">
        <v>3131</v>
      </c>
      <c r="E92" s="282"/>
      <c r="F92" s="238"/>
      <c r="G92" s="140">
        <v>350000</v>
      </c>
      <c r="H92" s="40"/>
      <c r="I92" s="40"/>
      <c r="J92" s="40">
        <f t="shared" ref="J92:J150" si="37">H92-I92</f>
        <v>0</v>
      </c>
      <c r="K92" s="94"/>
      <c r="L92" s="233">
        <f t="shared" si="32"/>
        <v>0</v>
      </c>
      <c r="M92" s="130"/>
      <c r="N92" s="40">
        <v>350000</v>
      </c>
      <c r="O92" s="42">
        <f t="shared" si="36"/>
        <v>-350000</v>
      </c>
      <c r="Q92" s="3">
        <f t="shared" si="35"/>
        <v>350000</v>
      </c>
    </row>
    <row r="93" spans="1:17" ht="37.5" customHeight="1" x14ac:dyDescent="0.4">
      <c r="A93" s="49">
        <v>3</v>
      </c>
      <c r="B93" s="51" t="s">
        <v>84</v>
      </c>
      <c r="C93" s="279"/>
      <c r="D93" s="32">
        <v>3131</v>
      </c>
      <c r="E93" s="282"/>
      <c r="F93" s="238"/>
      <c r="G93" s="141">
        <v>300000</v>
      </c>
      <c r="H93" s="40"/>
      <c r="I93" s="40"/>
      <c r="J93" s="40">
        <f t="shared" si="37"/>
        <v>0</v>
      </c>
      <c r="K93" s="94"/>
      <c r="L93" s="233">
        <f t="shared" si="32"/>
        <v>0</v>
      </c>
      <c r="M93" s="130"/>
      <c r="N93" s="40">
        <v>300000</v>
      </c>
      <c r="O93" s="42">
        <f t="shared" si="36"/>
        <v>-300000</v>
      </c>
      <c r="Q93" s="3">
        <f t="shared" si="35"/>
        <v>300000</v>
      </c>
    </row>
    <row r="94" spans="1:17" ht="37.5" customHeight="1" x14ac:dyDescent="0.4">
      <c r="A94" s="49">
        <v>4</v>
      </c>
      <c r="B94" s="51" t="s">
        <v>85</v>
      </c>
      <c r="C94" s="279"/>
      <c r="D94" s="32">
        <v>3131</v>
      </c>
      <c r="E94" s="282"/>
      <c r="F94" s="238"/>
      <c r="G94" s="141">
        <v>500000</v>
      </c>
      <c r="H94" s="40"/>
      <c r="I94" s="40"/>
      <c r="J94" s="40">
        <f t="shared" si="37"/>
        <v>0</v>
      </c>
      <c r="K94" s="94"/>
      <c r="L94" s="233">
        <f t="shared" si="32"/>
        <v>0</v>
      </c>
      <c r="M94" s="130">
        <v>500000</v>
      </c>
      <c r="N94" s="40"/>
      <c r="O94" s="42">
        <f t="shared" si="36"/>
        <v>500000</v>
      </c>
      <c r="Q94" s="3">
        <f t="shared" si="35"/>
        <v>500000</v>
      </c>
    </row>
    <row r="95" spans="1:17" ht="37.5" customHeight="1" x14ac:dyDescent="0.4">
      <c r="A95" s="49">
        <v>5</v>
      </c>
      <c r="B95" s="52" t="s">
        <v>86</v>
      </c>
      <c r="C95" s="279"/>
      <c r="D95" s="32">
        <v>3131</v>
      </c>
      <c r="E95" s="282"/>
      <c r="F95" s="238"/>
      <c r="G95" s="142">
        <v>350000</v>
      </c>
      <c r="H95" s="40"/>
      <c r="I95" s="40"/>
      <c r="J95" s="40">
        <f t="shared" si="37"/>
        <v>0</v>
      </c>
      <c r="K95" s="94"/>
      <c r="L95" s="233">
        <f t="shared" si="32"/>
        <v>0</v>
      </c>
      <c r="M95" s="130">
        <v>350000</v>
      </c>
      <c r="N95" s="40"/>
      <c r="O95" s="42">
        <f t="shared" si="36"/>
        <v>350000</v>
      </c>
      <c r="Q95" s="3">
        <f t="shared" si="35"/>
        <v>350000</v>
      </c>
    </row>
    <row r="96" spans="1:17" ht="37.5" customHeight="1" x14ac:dyDescent="0.4">
      <c r="A96" s="49">
        <v>6</v>
      </c>
      <c r="B96" s="51" t="s">
        <v>67</v>
      </c>
      <c r="C96" s="279"/>
      <c r="D96" s="32">
        <v>3131</v>
      </c>
      <c r="E96" s="282"/>
      <c r="F96" s="238"/>
      <c r="G96" s="141">
        <v>550000</v>
      </c>
      <c r="H96" s="40"/>
      <c r="I96" s="40"/>
      <c r="J96" s="40">
        <f t="shared" si="37"/>
        <v>0</v>
      </c>
      <c r="K96" s="94"/>
      <c r="L96" s="233">
        <f t="shared" si="32"/>
        <v>0</v>
      </c>
      <c r="M96" s="130"/>
      <c r="N96" s="40">
        <v>550000</v>
      </c>
      <c r="O96" s="42">
        <f t="shared" si="36"/>
        <v>-550000</v>
      </c>
      <c r="Q96" s="3">
        <f t="shared" si="35"/>
        <v>550000</v>
      </c>
    </row>
    <row r="97" spans="1:17" ht="37.5" customHeight="1" x14ac:dyDescent="0.4">
      <c r="A97" s="49">
        <v>7</v>
      </c>
      <c r="B97" s="51" t="s">
        <v>87</v>
      </c>
      <c r="C97" s="279"/>
      <c r="D97" s="32">
        <v>3131</v>
      </c>
      <c r="E97" s="282"/>
      <c r="F97" s="238"/>
      <c r="G97" s="141">
        <v>450000</v>
      </c>
      <c r="H97" s="40"/>
      <c r="I97" s="40"/>
      <c r="J97" s="40">
        <f t="shared" si="37"/>
        <v>0</v>
      </c>
      <c r="K97" s="94"/>
      <c r="L97" s="233">
        <f t="shared" si="32"/>
        <v>0</v>
      </c>
      <c r="M97" s="130"/>
      <c r="N97" s="40">
        <v>450000</v>
      </c>
      <c r="O97" s="42">
        <f t="shared" si="36"/>
        <v>-450000</v>
      </c>
      <c r="Q97" s="3">
        <f t="shared" si="35"/>
        <v>450000</v>
      </c>
    </row>
    <row r="98" spans="1:17" ht="37.5" customHeight="1" x14ac:dyDescent="0.4">
      <c r="A98" s="49">
        <v>8</v>
      </c>
      <c r="B98" s="51" t="s">
        <v>88</v>
      </c>
      <c r="C98" s="279"/>
      <c r="D98" s="32">
        <v>3131</v>
      </c>
      <c r="E98" s="282"/>
      <c r="F98" s="238"/>
      <c r="G98" s="141">
        <v>300000</v>
      </c>
      <c r="H98" s="40"/>
      <c r="I98" s="40"/>
      <c r="J98" s="40">
        <f t="shared" si="37"/>
        <v>0</v>
      </c>
      <c r="K98" s="94"/>
      <c r="L98" s="233">
        <f t="shared" si="32"/>
        <v>0</v>
      </c>
      <c r="M98" s="130"/>
      <c r="N98" s="40">
        <v>300000</v>
      </c>
      <c r="O98" s="42">
        <f t="shared" si="36"/>
        <v>-300000</v>
      </c>
      <c r="Q98" s="3">
        <f t="shared" si="35"/>
        <v>300000</v>
      </c>
    </row>
    <row r="99" spans="1:17" ht="37.5" customHeight="1" x14ac:dyDescent="0.4">
      <c r="A99" s="49">
        <v>9</v>
      </c>
      <c r="B99" s="51" t="s">
        <v>89</v>
      </c>
      <c r="C99" s="279"/>
      <c r="D99" s="32">
        <v>3131</v>
      </c>
      <c r="E99" s="282"/>
      <c r="F99" s="238"/>
      <c r="G99" s="141">
        <v>550000</v>
      </c>
      <c r="H99" s="40"/>
      <c r="I99" s="40"/>
      <c r="J99" s="40">
        <f t="shared" si="37"/>
        <v>0</v>
      </c>
      <c r="K99" s="94"/>
      <c r="L99" s="233">
        <f t="shared" si="32"/>
        <v>0</v>
      </c>
      <c r="M99" s="130">
        <v>550000</v>
      </c>
      <c r="N99" s="40"/>
      <c r="O99" s="42">
        <f t="shared" si="36"/>
        <v>550000</v>
      </c>
      <c r="Q99" s="3">
        <f t="shared" si="35"/>
        <v>550000</v>
      </c>
    </row>
    <row r="100" spans="1:17" ht="37.5" customHeight="1" x14ac:dyDescent="0.4">
      <c r="A100" s="49">
        <v>10</v>
      </c>
      <c r="B100" s="51" t="s">
        <v>90</v>
      </c>
      <c r="C100" s="279"/>
      <c r="D100" s="32">
        <v>3131</v>
      </c>
      <c r="E100" s="282"/>
      <c r="F100" s="238"/>
      <c r="G100" s="140">
        <v>350000</v>
      </c>
      <c r="H100" s="40"/>
      <c r="I100" s="40"/>
      <c r="J100" s="40">
        <f t="shared" si="37"/>
        <v>0</v>
      </c>
      <c r="K100" s="94"/>
      <c r="L100" s="233">
        <f t="shared" si="32"/>
        <v>0</v>
      </c>
      <c r="M100" s="130">
        <v>350000</v>
      </c>
      <c r="N100" s="40"/>
      <c r="O100" s="42">
        <f t="shared" si="36"/>
        <v>350000</v>
      </c>
      <c r="Q100" s="3">
        <f t="shared" si="35"/>
        <v>350000</v>
      </c>
    </row>
    <row r="101" spans="1:17" ht="37.5" customHeight="1" x14ac:dyDescent="0.4">
      <c r="A101" s="49">
        <v>11</v>
      </c>
      <c r="B101" s="50" t="s">
        <v>91</v>
      </c>
      <c r="C101" s="279"/>
      <c r="D101" s="32">
        <v>3131</v>
      </c>
      <c r="E101" s="282"/>
      <c r="F101" s="238"/>
      <c r="G101" s="140">
        <v>350000</v>
      </c>
      <c r="H101" s="40"/>
      <c r="I101" s="40"/>
      <c r="J101" s="40">
        <f t="shared" si="37"/>
        <v>0</v>
      </c>
      <c r="K101" s="94"/>
      <c r="L101" s="233">
        <f t="shared" si="32"/>
        <v>0</v>
      </c>
      <c r="M101" s="130"/>
      <c r="N101" s="40">
        <v>350000</v>
      </c>
      <c r="O101" s="42">
        <f t="shared" si="36"/>
        <v>-350000</v>
      </c>
      <c r="Q101" s="3">
        <f t="shared" si="35"/>
        <v>350000</v>
      </c>
    </row>
    <row r="102" spans="1:17" ht="37.5" customHeight="1" x14ac:dyDescent="0.4">
      <c r="A102" s="49">
        <v>12</v>
      </c>
      <c r="B102" s="51" t="s">
        <v>92</v>
      </c>
      <c r="C102" s="279"/>
      <c r="D102" s="32">
        <v>3131</v>
      </c>
      <c r="E102" s="282"/>
      <c r="F102" s="238"/>
      <c r="G102" s="140">
        <v>350000</v>
      </c>
      <c r="H102" s="40"/>
      <c r="I102" s="40"/>
      <c r="J102" s="40">
        <f t="shared" si="37"/>
        <v>0</v>
      </c>
      <c r="K102" s="94"/>
      <c r="L102" s="233">
        <f t="shared" si="32"/>
        <v>0</v>
      </c>
      <c r="M102" s="130"/>
      <c r="N102" s="40">
        <v>350000</v>
      </c>
      <c r="O102" s="42">
        <f t="shared" si="36"/>
        <v>-350000</v>
      </c>
      <c r="Q102" s="3">
        <f t="shared" si="35"/>
        <v>350000</v>
      </c>
    </row>
    <row r="103" spans="1:17" ht="37.5" customHeight="1" x14ac:dyDescent="0.4">
      <c r="A103" s="49">
        <v>13</v>
      </c>
      <c r="B103" s="51" t="s">
        <v>93</v>
      </c>
      <c r="C103" s="279"/>
      <c r="D103" s="32">
        <v>3131</v>
      </c>
      <c r="E103" s="282"/>
      <c r="F103" s="238"/>
      <c r="G103" s="140">
        <v>350000</v>
      </c>
      <c r="H103" s="40"/>
      <c r="I103" s="40"/>
      <c r="J103" s="40">
        <f t="shared" si="37"/>
        <v>0</v>
      </c>
      <c r="K103" s="94"/>
      <c r="L103" s="233">
        <f t="shared" si="32"/>
        <v>0</v>
      </c>
      <c r="M103" s="140">
        <v>350000</v>
      </c>
      <c r="N103" s="40"/>
      <c r="O103" s="42">
        <f t="shared" si="36"/>
        <v>350000</v>
      </c>
      <c r="Q103" s="3">
        <f t="shared" si="35"/>
        <v>350000</v>
      </c>
    </row>
    <row r="104" spans="1:17" ht="37.5" customHeight="1" x14ac:dyDescent="0.4">
      <c r="A104" s="49">
        <v>14</v>
      </c>
      <c r="B104" s="51" t="s">
        <v>94</v>
      </c>
      <c r="C104" s="279"/>
      <c r="D104" s="32">
        <v>3131</v>
      </c>
      <c r="E104" s="282"/>
      <c r="F104" s="238"/>
      <c r="G104" s="140">
        <v>450000</v>
      </c>
      <c r="H104" s="40"/>
      <c r="I104" s="40"/>
      <c r="J104" s="40">
        <f t="shared" si="37"/>
        <v>0</v>
      </c>
      <c r="K104" s="94"/>
      <c r="L104" s="233">
        <f t="shared" si="32"/>
        <v>0</v>
      </c>
      <c r="M104" s="140">
        <v>450000</v>
      </c>
      <c r="N104" s="40"/>
      <c r="O104" s="42">
        <f t="shared" si="36"/>
        <v>450000</v>
      </c>
      <c r="Q104" s="3">
        <f t="shared" si="35"/>
        <v>450000</v>
      </c>
    </row>
    <row r="105" spans="1:17" ht="37.5" customHeight="1" x14ac:dyDescent="0.4">
      <c r="A105" s="49">
        <v>15</v>
      </c>
      <c r="B105" s="51" t="s">
        <v>95</v>
      </c>
      <c r="C105" s="279"/>
      <c r="D105" s="32">
        <v>3131</v>
      </c>
      <c r="E105" s="282"/>
      <c r="F105" s="238"/>
      <c r="G105" s="140">
        <v>450000</v>
      </c>
      <c r="H105" s="40"/>
      <c r="I105" s="40"/>
      <c r="J105" s="40">
        <f t="shared" si="37"/>
        <v>0</v>
      </c>
      <c r="K105" s="94"/>
      <c r="L105" s="233">
        <f t="shared" si="32"/>
        <v>0</v>
      </c>
      <c r="M105" s="140">
        <v>450000</v>
      </c>
      <c r="N105" s="40"/>
      <c r="O105" s="42">
        <f t="shared" si="36"/>
        <v>450000</v>
      </c>
      <c r="Q105" s="3">
        <f t="shared" si="35"/>
        <v>450000</v>
      </c>
    </row>
    <row r="106" spans="1:17" ht="37.5" customHeight="1" x14ac:dyDescent="0.4">
      <c r="A106" s="49">
        <v>16</v>
      </c>
      <c r="B106" s="51" t="s">
        <v>96</v>
      </c>
      <c r="C106" s="279"/>
      <c r="D106" s="32">
        <v>3131</v>
      </c>
      <c r="E106" s="282"/>
      <c r="F106" s="238"/>
      <c r="G106" s="140">
        <v>350000</v>
      </c>
      <c r="H106" s="40"/>
      <c r="I106" s="40"/>
      <c r="J106" s="40">
        <f t="shared" si="37"/>
        <v>0</v>
      </c>
      <c r="K106" s="94"/>
      <c r="L106" s="233">
        <f t="shared" si="32"/>
        <v>0</v>
      </c>
      <c r="M106" s="140">
        <v>350000</v>
      </c>
      <c r="N106" s="40"/>
      <c r="O106" s="42">
        <f t="shared" si="36"/>
        <v>350000</v>
      </c>
      <c r="Q106" s="3">
        <f t="shared" si="35"/>
        <v>350000</v>
      </c>
    </row>
    <row r="107" spans="1:17" ht="37.5" customHeight="1" x14ac:dyDescent="0.4">
      <c r="A107" s="49">
        <v>17</v>
      </c>
      <c r="B107" s="51" t="s">
        <v>97</v>
      </c>
      <c r="C107" s="279"/>
      <c r="D107" s="32">
        <v>3131</v>
      </c>
      <c r="E107" s="282"/>
      <c r="F107" s="238"/>
      <c r="G107" s="140">
        <v>550000</v>
      </c>
      <c r="H107" s="40"/>
      <c r="I107" s="40"/>
      <c r="J107" s="40">
        <f t="shared" si="37"/>
        <v>0</v>
      </c>
      <c r="K107" s="94"/>
      <c r="L107" s="233">
        <f t="shared" si="32"/>
        <v>0</v>
      </c>
      <c r="M107" s="140">
        <v>550000</v>
      </c>
      <c r="N107" s="40"/>
      <c r="O107" s="42">
        <f t="shared" si="36"/>
        <v>550000</v>
      </c>
      <c r="Q107" s="3">
        <f t="shared" si="35"/>
        <v>550000</v>
      </c>
    </row>
    <row r="108" spans="1:17" ht="37.5" customHeight="1" x14ac:dyDescent="0.4">
      <c r="A108" s="49">
        <v>18</v>
      </c>
      <c r="B108" s="51" t="s">
        <v>98</v>
      </c>
      <c r="C108" s="279"/>
      <c r="D108" s="32">
        <v>3131</v>
      </c>
      <c r="E108" s="282"/>
      <c r="F108" s="238"/>
      <c r="G108" s="140">
        <v>350000</v>
      </c>
      <c r="H108" s="40"/>
      <c r="I108" s="40"/>
      <c r="J108" s="40">
        <f t="shared" si="37"/>
        <v>0</v>
      </c>
      <c r="K108" s="94"/>
      <c r="L108" s="233">
        <f t="shared" si="32"/>
        <v>0</v>
      </c>
      <c r="M108" s="140">
        <v>350000</v>
      </c>
      <c r="N108" s="40"/>
      <c r="O108" s="42">
        <f t="shared" si="36"/>
        <v>350000</v>
      </c>
      <c r="Q108" s="3">
        <f t="shared" si="35"/>
        <v>350000</v>
      </c>
    </row>
    <row r="109" spans="1:17" ht="37.5" customHeight="1" x14ac:dyDescent="0.4">
      <c r="A109" s="49">
        <v>19</v>
      </c>
      <c r="B109" s="51" t="s">
        <v>99</v>
      </c>
      <c r="C109" s="279"/>
      <c r="D109" s="32">
        <v>3131</v>
      </c>
      <c r="E109" s="282"/>
      <c r="F109" s="238"/>
      <c r="G109" s="140">
        <v>350000</v>
      </c>
      <c r="H109" s="40"/>
      <c r="I109" s="40"/>
      <c r="J109" s="40">
        <f t="shared" si="37"/>
        <v>0</v>
      </c>
      <c r="K109" s="94"/>
      <c r="L109" s="233">
        <f t="shared" si="32"/>
        <v>0</v>
      </c>
      <c r="M109" s="140">
        <v>350000</v>
      </c>
      <c r="N109" s="40"/>
      <c r="O109" s="42">
        <f t="shared" si="36"/>
        <v>350000</v>
      </c>
      <c r="Q109" s="3">
        <f t="shared" si="35"/>
        <v>350000</v>
      </c>
    </row>
    <row r="110" spans="1:17" ht="37.5" customHeight="1" x14ac:dyDescent="0.4">
      <c r="A110" s="49">
        <v>20</v>
      </c>
      <c r="B110" s="51" t="s">
        <v>100</v>
      </c>
      <c r="C110" s="279"/>
      <c r="D110" s="32">
        <v>3131</v>
      </c>
      <c r="E110" s="282"/>
      <c r="F110" s="238"/>
      <c r="G110" s="140">
        <v>350000</v>
      </c>
      <c r="H110" s="40"/>
      <c r="I110" s="40"/>
      <c r="J110" s="40">
        <f t="shared" si="37"/>
        <v>0</v>
      </c>
      <c r="K110" s="94"/>
      <c r="L110" s="233">
        <f t="shared" si="32"/>
        <v>0</v>
      </c>
      <c r="M110" s="140">
        <v>350000</v>
      </c>
      <c r="N110" s="40"/>
      <c r="O110" s="42">
        <f t="shared" si="36"/>
        <v>350000</v>
      </c>
      <c r="Q110" s="3">
        <f t="shared" si="35"/>
        <v>350000</v>
      </c>
    </row>
    <row r="111" spans="1:17" ht="37.5" customHeight="1" x14ac:dyDescent="0.4">
      <c r="A111" s="49">
        <v>21</v>
      </c>
      <c r="B111" s="52" t="s">
        <v>101</v>
      </c>
      <c r="C111" s="279"/>
      <c r="D111" s="32">
        <v>3131</v>
      </c>
      <c r="E111" s="282"/>
      <c r="F111" s="238"/>
      <c r="G111" s="143">
        <v>350000</v>
      </c>
      <c r="H111" s="40"/>
      <c r="I111" s="40"/>
      <c r="J111" s="40">
        <f t="shared" si="37"/>
        <v>0</v>
      </c>
      <c r="K111" s="94"/>
      <c r="L111" s="233">
        <f t="shared" si="32"/>
        <v>0</v>
      </c>
      <c r="M111" s="143">
        <v>350000</v>
      </c>
      <c r="N111" s="40"/>
      <c r="O111" s="42">
        <f t="shared" si="36"/>
        <v>350000</v>
      </c>
      <c r="Q111" s="3">
        <f t="shared" si="35"/>
        <v>350000</v>
      </c>
    </row>
    <row r="112" spans="1:17" ht="37.5" customHeight="1" x14ac:dyDescent="0.4">
      <c r="A112" s="49">
        <v>22</v>
      </c>
      <c r="B112" s="51" t="s">
        <v>74</v>
      </c>
      <c r="C112" s="279"/>
      <c r="D112" s="32">
        <v>3131</v>
      </c>
      <c r="E112" s="282"/>
      <c r="F112" s="238"/>
      <c r="G112" s="140">
        <v>450000</v>
      </c>
      <c r="H112" s="40"/>
      <c r="I112" s="40"/>
      <c r="J112" s="40">
        <f t="shared" si="37"/>
        <v>0</v>
      </c>
      <c r="K112" s="94"/>
      <c r="L112" s="233">
        <f t="shared" si="32"/>
        <v>0</v>
      </c>
      <c r="M112" s="140">
        <v>450000</v>
      </c>
      <c r="N112" s="40"/>
      <c r="O112" s="42">
        <f t="shared" si="36"/>
        <v>450000</v>
      </c>
      <c r="Q112" s="3">
        <f t="shared" si="35"/>
        <v>450000</v>
      </c>
    </row>
    <row r="113" spans="1:17" ht="37.5" customHeight="1" x14ac:dyDescent="0.4">
      <c r="A113" s="49">
        <v>23</v>
      </c>
      <c r="B113" s="51" t="s">
        <v>102</v>
      </c>
      <c r="C113" s="279"/>
      <c r="D113" s="32">
        <v>3131</v>
      </c>
      <c r="E113" s="282"/>
      <c r="F113" s="238"/>
      <c r="G113" s="140">
        <v>250000</v>
      </c>
      <c r="H113" s="40"/>
      <c r="I113" s="40"/>
      <c r="J113" s="40">
        <f t="shared" si="37"/>
        <v>0</v>
      </c>
      <c r="K113" s="94"/>
      <c r="L113" s="233">
        <f t="shared" si="32"/>
        <v>0</v>
      </c>
      <c r="M113" s="140">
        <v>250000</v>
      </c>
      <c r="N113" s="40"/>
      <c r="O113" s="42">
        <f t="shared" si="36"/>
        <v>250000</v>
      </c>
      <c r="Q113" s="3">
        <f t="shared" si="35"/>
        <v>250000</v>
      </c>
    </row>
    <row r="114" spans="1:17" ht="37.5" customHeight="1" x14ac:dyDescent="0.4">
      <c r="A114" s="49">
        <v>24</v>
      </c>
      <c r="B114" s="51" t="s">
        <v>103</v>
      </c>
      <c r="C114" s="279"/>
      <c r="D114" s="32">
        <v>3131</v>
      </c>
      <c r="E114" s="282"/>
      <c r="F114" s="238"/>
      <c r="G114" s="140">
        <v>550000</v>
      </c>
      <c r="H114" s="40"/>
      <c r="I114" s="40"/>
      <c r="J114" s="40">
        <f t="shared" si="37"/>
        <v>0</v>
      </c>
      <c r="K114" s="94"/>
      <c r="L114" s="233">
        <f t="shared" si="32"/>
        <v>0</v>
      </c>
      <c r="M114" s="130"/>
      <c r="N114" s="40">
        <v>550000</v>
      </c>
      <c r="O114" s="42">
        <f t="shared" si="36"/>
        <v>-550000</v>
      </c>
      <c r="Q114" s="3">
        <f t="shared" si="35"/>
        <v>550000</v>
      </c>
    </row>
    <row r="115" spans="1:17" ht="37.5" customHeight="1" x14ac:dyDescent="0.4">
      <c r="A115" s="49">
        <v>25</v>
      </c>
      <c r="B115" s="51" t="s">
        <v>104</v>
      </c>
      <c r="C115" s="279"/>
      <c r="D115" s="32">
        <v>3131</v>
      </c>
      <c r="E115" s="282"/>
      <c r="F115" s="238"/>
      <c r="G115" s="140">
        <v>450000</v>
      </c>
      <c r="H115" s="40"/>
      <c r="I115" s="40"/>
      <c r="J115" s="40">
        <f t="shared" si="37"/>
        <v>0</v>
      </c>
      <c r="K115" s="94"/>
      <c r="L115" s="233">
        <f t="shared" si="32"/>
        <v>0</v>
      </c>
      <c r="M115" s="130"/>
      <c r="N115" s="40">
        <v>450000</v>
      </c>
      <c r="O115" s="42">
        <f t="shared" si="36"/>
        <v>-450000</v>
      </c>
      <c r="Q115" s="3">
        <f t="shared" si="35"/>
        <v>450000</v>
      </c>
    </row>
    <row r="116" spans="1:17" ht="37.5" customHeight="1" x14ac:dyDescent="0.4">
      <c r="A116" s="49">
        <v>26</v>
      </c>
      <c r="B116" s="50" t="s">
        <v>105</v>
      </c>
      <c r="C116" s="279"/>
      <c r="D116" s="32">
        <v>3131</v>
      </c>
      <c r="E116" s="282"/>
      <c r="F116" s="238"/>
      <c r="G116" s="140">
        <v>350000</v>
      </c>
      <c r="H116" s="40"/>
      <c r="I116" s="40"/>
      <c r="J116" s="40">
        <f t="shared" si="37"/>
        <v>0</v>
      </c>
      <c r="K116" s="94"/>
      <c r="L116" s="233">
        <f t="shared" si="32"/>
        <v>0</v>
      </c>
      <c r="M116" s="140">
        <v>350000</v>
      </c>
      <c r="N116" s="40"/>
      <c r="O116" s="42">
        <f t="shared" si="36"/>
        <v>350000</v>
      </c>
      <c r="Q116" s="3">
        <f t="shared" si="35"/>
        <v>350000</v>
      </c>
    </row>
    <row r="117" spans="1:17" ht="37.5" customHeight="1" x14ac:dyDescent="0.4">
      <c r="A117" s="49">
        <v>27</v>
      </c>
      <c r="B117" s="51" t="s">
        <v>106</v>
      </c>
      <c r="C117" s="279"/>
      <c r="D117" s="32">
        <v>3131</v>
      </c>
      <c r="E117" s="282"/>
      <c r="F117" s="238"/>
      <c r="G117" s="140">
        <v>300000</v>
      </c>
      <c r="H117" s="40"/>
      <c r="I117" s="40"/>
      <c r="J117" s="40">
        <f t="shared" si="37"/>
        <v>0</v>
      </c>
      <c r="K117" s="94"/>
      <c r="L117" s="233">
        <f t="shared" si="32"/>
        <v>0</v>
      </c>
      <c r="M117" s="140">
        <v>300000</v>
      </c>
      <c r="N117" s="40"/>
      <c r="O117" s="42">
        <f t="shared" si="36"/>
        <v>300000</v>
      </c>
      <c r="Q117" s="3">
        <f t="shared" si="35"/>
        <v>300000</v>
      </c>
    </row>
    <row r="118" spans="1:17" ht="37.5" customHeight="1" x14ac:dyDescent="0.4">
      <c r="A118" s="49">
        <v>28</v>
      </c>
      <c r="B118" s="51" t="s">
        <v>107</v>
      </c>
      <c r="C118" s="279"/>
      <c r="D118" s="32">
        <v>3131</v>
      </c>
      <c r="E118" s="282"/>
      <c r="F118" s="238"/>
      <c r="G118" s="140">
        <v>300000</v>
      </c>
      <c r="H118" s="40"/>
      <c r="I118" s="40"/>
      <c r="J118" s="40">
        <f t="shared" si="37"/>
        <v>0</v>
      </c>
      <c r="K118" s="94"/>
      <c r="L118" s="233">
        <f t="shared" si="32"/>
        <v>0</v>
      </c>
      <c r="M118" s="140">
        <v>300000</v>
      </c>
      <c r="N118" s="40"/>
      <c r="O118" s="42">
        <f t="shared" si="36"/>
        <v>300000</v>
      </c>
      <c r="Q118" s="3">
        <f t="shared" si="35"/>
        <v>300000</v>
      </c>
    </row>
    <row r="119" spans="1:17" ht="37.5" customHeight="1" x14ac:dyDescent="0.4">
      <c r="A119" s="49">
        <v>29</v>
      </c>
      <c r="B119" s="52" t="s">
        <v>108</v>
      </c>
      <c r="C119" s="279"/>
      <c r="D119" s="32">
        <v>3131</v>
      </c>
      <c r="E119" s="282"/>
      <c r="F119" s="238"/>
      <c r="G119" s="143">
        <v>250000</v>
      </c>
      <c r="H119" s="40"/>
      <c r="I119" s="40"/>
      <c r="J119" s="40">
        <f t="shared" si="37"/>
        <v>0</v>
      </c>
      <c r="K119" s="94"/>
      <c r="L119" s="233">
        <f t="shared" si="32"/>
        <v>0</v>
      </c>
      <c r="M119" s="143">
        <v>250000</v>
      </c>
      <c r="N119" s="40"/>
      <c r="O119" s="42">
        <f t="shared" si="36"/>
        <v>250000</v>
      </c>
      <c r="Q119" s="3">
        <f t="shared" si="35"/>
        <v>250000</v>
      </c>
    </row>
    <row r="120" spans="1:17" ht="37.5" customHeight="1" x14ac:dyDescent="0.4">
      <c r="A120" s="49">
        <v>30</v>
      </c>
      <c r="B120" s="52" t="s">
        <v>109</v>
      </c>
      <c r="C120" s="279"/>
      <c r="D120" s="32">
        <v>3131</v>
      </c>
      <c r="E120" s="282"/>
      <c r="F120" s="238"/>
      <c r="G120" s="143">
        <v>350000</v>
      </c>
      <c r="H120" s="40"/>
      <c r="I120" s="40"/>
      <c r="J120" s="40">
        <f t="shared" si="37"/>
        <v>0</v>
      </c>
      <c r="K120" s="94"/>
      <c r="L120" s="233">
        <f t="shared" si="32"/>
        <v>0</v>
      </c>
      <c r="M120" s="143">
        <v>350000</v>
      </c>
      <c r="N120" s="40"/>
      <c r="O120" s="42">
        <f t="shared" si="36"/>
        <v>350000</v>
      </c>
      <c r="Q120" s="3">
        <f t="shared" si="35"/>
        <v>350000</v>
      </c>
    </row>
    <row r="121" spans="1:17" ht="37.5" customHeight="1" x14ac:dyDescent="0.4">
      <c r="A121" s="49">
        <v>31</v>
      </c>
      <c r="B121" s="52" t="s">
        <v>110</v>
      </c>
      <c r="C121" s="279"/>
      <c r="D121" s="32">
        <v>3131</v>
      </c>
      <c r="E121" s="282"/>
      <c r="F121" s="238"/>
      <c r="G121" s="143">
        <v>350000</v>
      </c>
      <c r="H121" s="40"/>
      <c r="I121" s="40"/>
      <c r="J121" s="40">
        <f t="shared" si="37"/>
        <v>0</v>
      </c>
      <c r="K121" s="94"/>
      <c r="L121" s="233">
        <f t="shared" si="32"/>
        <v>0</v>
      </c>
      <c r="M121" s="143">
        <v>350000</v>
      </c>
      <c r="N121" s="40"/>
      <c r="O121" s="42">
        <f t="shared" si="36"/>
        <v>350000</v>
      </c>
      <c r="Q121" s="3">
        <f t="shared" si="35"/>
        <v>350000</v>
      </c>
    </row>
    <row r="122" spans="1:17" ht="37.5" customHeight="1" x14ac:dyDescent="0.4">
      <c r="A122" s="49">
        <v>32</v>
      </c>
      <c r="B122" s="51" t="s">
        <v>111</v>
      </c>
      <c r="C122" s="279"/>
      <c r="D122" s="32">
        <v>3131</v>
      </c>
      <c r="E122" s="282"/>
      <c r="F122" s="238"/>
      <c r="G122" s="140">
        <v>350000</v>
      </c>
      <c r="H122" s="40"/>
      <c r="I122" s="40"/>
      <c r="J122" s="40">
        <f t="shared" si="37"/>
        <v>0</v>
      </c>
      <c r="K122" s="94"/>
      <c r="L122" s="233">
        <f t="shared" si="32"/>
        <v>0</v>
      </c>
      <c r="M122" s="140">
        <v>350000</v>
      </c>
      <c r="N122" s="40"/>
      <c r="O122" s="42">
        <f t="shared" si="36"/>
        <v>350000</v>
      </c>
      <c r="Q122" s="3">
        <f t="shared" si="35"/>
        <v>350000</v>
      </c>
    </row>
    <row r="123" spans="1:17" ht="37.5" customHeight="1" x14ac:dyDescent="0.4">
      <c r="A123" s="49">
        <v>33</v>
      </c>
      <c r="B123" s="52" t="s">
        <v>112</v>
      </c>
      <c r="C123" s="279"/>
      <c r="D123" s="32">
        <v>3131</v>
      </c>
      <c r="E123" s="282"/>
      <c r="F123" s="238"/>
      <c r="G123" s="144">
        <v>350000</v>
      </c>
      <c r="H123" s="40"/>
      <c r="I123" s="40"/>
      <c r="J123" s="40">
        <f t="shared" si="37"/>
        <v>0</v>
      </c>
      <c r="K123" s="94"/>
      <c r="L123" s="233">
        <f t="shared" si="32"/>
        <v>0</v>
      </c>
      <c r="M123" s="144">
        <v>350000</v>
      </c>
      <c r="N123" s="40"/>
      <c r="O123" s="42">
        <f t="shared" si="36"/>
        <v>350000</v>
      </c>
      <c r="Q123" s="3">
        <f t="shared" si="35"/>
        <v>350000</v>
      </c>
    </row>
    <row r="124" spans="1:17" ht="37.5" customHeight="1" x14ac:dyDescent="0.4">
      <c r="A124" s="49">
        <v>34</v>
      </c>
      <c r="B124" s="51" t="s">
        <v>113</v>
      </c>
      <c r="C124" s="279"/>
      <c r="D124" s="32">
        <v>3131</v>
      </c>
      <c r="E124" s="282"/>
      <c r="F124" s="238"/>
      <c r="G124" s="140">
        <v>350000</v>
      </c>
      <c r="H124" s="40"/>
      <c r="I124" s="40"/>
      <c r="J124" s="40">
        <f t="shared" si="37"/>
        <v>0</v>
      </c>
      <c r="K124" s="94"/>
      <c r="L124" s="233">
        <f t="shared" si="32"/>
        <v>0</v>
      </c>
      <c r="M124" s="140">
        <v>350000</v>
      </c>
      <c r="N124" s="40"/>
      <c r="O124" s="42">
        <f t="shared" si="36"/>
        <v>350000</v>
      </c>
      <c r="Q124" s="3">
        <f t="shared" si="35"/>
        <v>350000</v>
      </c>
    </row>
    <row r="125" spans="1:17" ht="37.5" customHeight="1" x14ac:dyDescent="0.4">
      <c r="A125" s="49">
        <v>35</v>
      </c>
      <c r="B125" s="51" t="s">
        <v>114</v>
      </c>
      <c r="C125" s="279"/>
      <c r="D125" s="32">
        <v>3131</v>
      </c>
      <c r="E125" s="282"/>
      <c r="F125" s="238"/>
      <c r="G125" s="140">
        <v>350000</v>
      </c>
      <c r="H125" s="40"/>
      <c r="I125" s="40"/>
      <c r="J125" s="40">
        <f t="shared" si="37"/>
        <v>0</v>
      </c>
      <c r="K125" s="94"/>
      <c r="L125" s="233">
        <f t="shared" si="32"/>
        <v>0</v>
      </c>
      <c r="M125" s="140">
        <v>350000</v>
      </c>
      <c r="N125" s="40"/>
      <c r="O125" s="42">
        <f t="shared" si="36"/>
        <v>350000</v>
      </c>
      <c r="Q125" s="3">
        <f t="shared" si="35"/>
        <v>350000</v>
      </c>
    </row>
    <row r="126" spans="1:17" ht="37.5" customHeight="1" x14ac:dyDescent="0.4">
      <c r="A126" s="49">
        <v>36</v>
      </c>
      <c r="B126" s="50" t="s">
        <v>115</v>
      </c>
      <c r="C126" s="279"/>
      <c r="D126" s="32">
        <v>3131</v>
      </c>
      <c r="E126" s="282"/>
      <c r="F126" s="238"/>
      <c r="G126" s="140">
        <v>350000</v>
      </c>
      <c r="H126" s="40"/>
      <c r="I126" s="40"/>
      <c r="J126" s="40">
        <f t="shared" si="37"/>
        <v>0</v>
      </c>
      <c r="K126" s="94"/>
      <c r="L126" s="233">
        <f t="shared" si="32"/>
        <v>0</v>
      </c>
      <c r="M126" s="140">
        <v>350000</v>
      </c>
      <c r="N126" s="40"/>
      <c r="O126" s="42">
        <f t="shared" si="36"/>
        <v>350000</v>
      </c>
      <c r="Q126" s="3">
        <f t="shared" si="35"/>
        <v>350000</v>
      </c>
    </row>
    <row r="127" spans="1:17" ht="37.5" customHeight="1" x14ac:dyDescent="0.4">
      <c r="A127" s="49">
        <v>37</v>
      </c>
      <c r="B127" s="50" t="s">
        <v>116</v>
      </c>
      <c r="C127" s="279"/>
      <c r="D127" s="32">
        <v>3131</v>
      </c>
      <c r="E127" s="282"/>
      <c r="F127" s="238"/>
      <c r="G127" s="140">
        <v>350000</v>
      </c>
      <c r="H127" s="40"/>
      <c r="I127" s="40"/>
      <c r="J127" s="40">
        <f t="shared" si="37"/>
        <v>0</v>
      </c>
      <c r="K127" s="94"/>
      <c r="L127" s="233">
        <f t="shared" si="32"/>
        <v>0</v>
      </c>
      <c r="M127" s="140">
        <v>350000</v>
      </c>
      <c r="N127" s="40"/>
      <c r="O127" s="42">
        <f t="shared" si="36"/>
        <v>350000</v>
      </c>
      <c r="Q127" s="3">
        <f t="shared" si="35"/>
        <v>350000</v>
      </c>
    </row>
    <row r="128" spans="1:17" ht="37.5" customHeight="1" x14ac:dyDescent="0.4">
      <c r="A128" s="49">
        <v>38</v>
      </c>
      <c r="B128" s="51" t="s">
        <v>117</v>
      </c>
      <c r="C128" s="279"/>
      <c r="D128" s="32">
        <v>3131</v>
      </c>
      <c r="E128" s="282"/>
      <c r="F128" s="238"/>
      <c r="G128" s="140">
        <v>550000</v>
      </c>
      <c r="H128" s="40"/>
      <c r="I128" s="40"/>
      <c r="J128" s="40">
        <f t="shared" si="37"/>
        <v>0</v>
      </c>
      <c r="K128" s="94"/>
      <c r="L128" s="233">
        <f t="shared" si="32"/>
        <v>0</v>
      </c>
      <c r="M128" s="130"/>
      <c r="N128" s="40">
        <v>550000</v>
      </c>
      <c r="O128" s="42">
        <f t="shared" si="36"/>
        <v>-550000</v>
      </c>
      <c r="Q128" s="3">
        <f t="shared" si="35"/>
        <v>550000</v>
      </c>
    </row>
    <row r="129" spans="1:17" ht="37.5" customHeight="1" x14ac:dyDescent="0.4">
      <c r="A129" s="49">
        <v>39</v>
      </c>
      <c r="B129" s="51" t="s">
        <v>118</v>
      </c>
      <c r="C129" s="279"/>
      <c r="D129" s="32">
        <v>3131</v>
      </c>
      <c r="E129" s="282"/>
      <c r="F129" s="238"/>
      <c r="G129" s="140">
        <v>450000</v>
      </c>
      <c r="H129" s="40"/>
      <c r="I129" s="40"/>
      <c r="J129" s="40">
        <f t="shared" si="37"/>
        <v>0</v>
      </c>
      <c r="K129" s="94"/>
      <c r="L129" s="233">
        <f t="shared" si="32"/>
        <v>0</v>
      </c>
      <c r="M129" s="130"/>
      <c r="N129" s="40">
        <v>450000</v>
      </c>
      <c r="O129" s="42">
        <f t="shared" si="36"/>
        <v>-450000</v>
      </c>
      <c r="Q129" s="3">
        <f t="shared" si="35"/>
        <v>450000</v>
      </c>
    </row>
    <row r="130" spans="1:17" ht="37.5" customHeight="1" x14ac:dyDescent="0.4">
      <c r="A130" s="49">
        <v>40</v>
      </c>
      <c r="B130" s="51" t="s">
        <v>119</v>
      </c>
      <c r="C130" s="279"/>
      <c r="D130" s="32">
        <v>3131</v>
      </c>
      <c r="E130" s="282"/>
      <c r="F130" s="238"/>
      <c r="G130" s="145">
        <v>400000</v>
      </c>
      <c r="H130" s="40"/>
      <c r="I130" s="40"/>
      <c r="J130" s="40">
        <f t="shared" si="37"/>
        <v>0</v>
      </c>
      <c r="K130" s="94"/>
      <c r="L130" s="233">
        <f t="shared" si="32"/>
        <v>0</v>
      </c>
      <c r="M130" s="145">
        <v>400000</v>
      </c>
      <c r="N130" s="40"/>
      <c r="O130" s="42">
        <f t="shared" si="36"/>
        <v>400000</v>
      </c>
      <c r="Q130" s="3">
        <f t="shared" si="35"/>
        <v>400000</v>
      </c>
    </row>
    <row r="131" spans="1:17" ht="37.5" customHeight="1" x14ac:dyDescent="0.4">
      <c r="A131" s="49">
        <v>41</v>
      </c>
      <c r="B131" s="51" t="s">
        <v>120</v>
      </c>
      <c r="C131" s="279"/>
      <c r="D131" s="32">
        <v>3131</v>
      </c>
      <c r="E131" s="282"/>
      <c r="F131" s="238"/>
      <c r="G131" s="145">
        <v>350000</v>
      </c>
      <c r="H131" s="40"/>
      <c r="I131" s="40"/>
      <c r="J131" s="40">
        <f t="shared" si="37"/>
        <v>0</v>
      </c>
      <c r="K131" s="94"/>
      <c r="L131" s="233">
        <f t="shared" si="32"/>
        <v>0</v>
      </c>
      <c r="M131" s="145">
        <v>350000</v>
      </c>
      <c r="N131" s="40"/>
      <c r="O131" s="42">
        <f t="shared" si="36"/>
        <v>350000</v>
      </c>
      <c r="Q131" s="3">
        <f t="shared" si="35"/>
        <v>350000</v>
      </c>
    </row>
    <row r="132" spans="1:17" ht="37.5" customHeight="1" x14ac:dyDescent="0.4">
      <c r="A132" s="49">
        <v>42</v>
      </c>
      <c r="B132" s="51" t="s">
        <v>121</v>
      </c>
      <c r="C132" s="279"/>
      <c r="D132" s="32">
        <v>3131</v>
      </c>
      <c r="E132" s="282"/>
      <c r="F132" s="238"/>
      <c r="G132" s="145">
        <v>350000</v>
      </c>
      <c r="H132" s="40"/>
      <c r="I132" s="40"/>
      <c r="J132" s="40">
        <f t="shared" si="37"/>
        <v>0</v>
      </c>
      <c r="K132" s="94"/>
      <c r="L132" s="233">
        <f t="shared" si="32"/>
        <v>0</v>
      </c>
      <c r="M132" s="145">
        <v>350000</v>
      </c>
      <c r="N132" s="40"/>
      <c r="O132" s="42">
        <f t="shared" si="36"/>
        <v>350000</v>
      </c>
      <c r="Q132" s="3">
        <f t="shared" si="35"/>
        <v>350000</v>
      </c>
    </row>
    <row r="133" spans="1:17" ht="37.5" customHeight="1" x14ac:dyDescent="0.4">
      <c r="A133" s="49">
        <v>43</v>
      </c>
      <c r="B133" s="51" t="s">
        <v>122</v>
      </c>
      <c r="C133" s="279"/>
      <c r="D133" s="32">
        <v>3131</v>
      </c>
      <c r="E133" s="282"/>
      <c r="F133" s="238"/>
      <c r="G133" s="145">
        <v>350000</v>
      </c>
      <c r="H133" s="40"/>
      <c r="I133" s="40"/>
      <c r="J133" s="40">
        <f t="shared" si="37"/>
        <v>0</v>
      </c>
      <c r="K133" s="94"/>
      <c r="L133" s="233">
        <f t="shared" si="32"/>
        <v>0</v>
      </c>
      <c r="M133" s="145">
        <v>350000</v>
      </c>
      <c r="N133" s="40"/>
      <c r="O133" s="42">
        <f t="shared" si="36"/>
        <v>350000</v>
      </c>
      <c r="Q133" s="3">
        <f t="shared" si="35"/>
        <v>350000</v>
      </c>
    </row>
    <row r="134" spans="1:17" ht="37.5" customHeight="1" x14ac:dyDescent="0.4">
      <c r="A134" s="49">
        <v>44</v>
      </c>
      <c r="B134" s="51" t="s">
        <v>123</v>
      </c>
      <c r="C134" s="279"/>
      <c r="D134" s="32">
        <v>3131</v>
      </c>
      <c r="E134" s="282"/>
      <c r="F134" s="238"/>
      <c r="G134" s="145">
        <v>300000</v>
      </c>
      <c r="H134" s="40"/>
      <c r="I134" s="40"/>
      <c r="J134" s="40">
        <f t="shared" si="37"/>
        <v>0</v>
      </c>
      <c r="K134" s="94"/>
      <c r="L134" s="233">
        <f t="shared" si="32"/>
        <v>0</v>
      </c>
      <c r="M134" s="145">
        <v>300000</v>
      </c>
      <c r="N134" s="40"/>
      <c r="O134" s="42">
        <f t="shared" si="36"/>
        <v>300000</v>
      </c>
      <c r="Q134" s="3">
        <f t="shared" si="35"/>
        <v>300000</v>
      </c>
    </row>
    <row r="135" spans="1:17" ht="37.5" customHeight="1" x14ac:dyDescent="0.4">
      <c r="A135" s="49">
        <v>45</v>
      </c>
      <c r="B135" s="51" t="s">
        <v>124</v>
      </c>
      <c r="C135" s="279"/>
      <c r="D135" s="32">
        <v>3131</v>
      </c>
      <c r="E135" s="282"/>
      <c r="F135" s="238"/>
      <c r="G135" s="145">
        <v>350000</v>
      </c>
      <c r="H135" s="40"/>
      <c r="I135" s="40"/>
      <c r="J135" s="40">
        <f t="shared" si="37"/>
        <v>0</v>
      </c>
      <c r="K135" s="94"/>
      <c r="L135" s="233">
        <f t="shared" si="32"/>
        <v>0</v>
      </c>
      <c r="M135" s="145">
        <v>350000</v>
      </c>
      <c r="N135" s="40"/>
      <c r="O135" s="42">
        <f t="shared" si="36"/>
        <v>350000</v>
      </c>
      <c r="Q135" s="3">
        <f t="shared" si="35"/>
        <v>350000</v>
      </c>
    </row>
    <row r="136" spans="1:17" ht="37.5" customHeight="1" x14ac:dyDescent="0.4">
      <c r="A136" s="49">
        <v>46</v>
      </c>
      <c r="B136" s="51" t="s">
        <v>125</v>
      </c>
      <c r="C136" s="279"/>
      <c r="D136" s="32">
        <v>3131</v>
      </c>
      <c r="E136" s="282"/>
      <c r="F136" s="238"/>
      <c r="G136" s="145">
        <v>450000</v>
      </c>
      <c r="H136" s="40"/>
      <c r="I136" s="40"/>
      <c r="J136" s="40">
        <f t="shared" si="37"/>
        <v>0</v>
      </c>
      <c r="K136" s="94"/>
      <c r="L136" s="233">
        <f t="shared" si="32"/>
        <v>0</v>
      </c>
      <c r="M136" s="145">
        <v>450000</v>
      </c>
      <c r="N136" s="40"/>
      <c r="O136" s="42">
        <f t="shared" si="36"/>
        <v>450000</v>
      </c>
      <c r="Q136" s="3">
        <f t="shared" si="35"/>
        <v>450000</v>
      </c>
    </row>
    <row r="137" spans="1:17" ht="37.5" customHeight="1" x14ac:dyDescent="0.4">
      <c r="A137" s="49">
        <v>47</v>
      </c>
      <c r="B137" s="52" t="s">
        <v>126</v>
      </c>
      <c r="C137" s="279"/>
      <c r="D137" s="32">
        <v>3131</v>
      </c>
      <c r="E137" s="282"/>
      <c r="F137" s="238"/>
      <c r="G137" s="143">
        <v>350000</v>
      </c>
      <c r="H137" s="40"/>
      <c r="I137" s="40"/>
      <c r="J137" s="40">
        <f t="shared" si="37"/>
        <v>0</v>
      </c>
      <c r="K137" s="94"/>
      <c r="L137" s="233">
        <f t="shared" si="32"/>
        <v>0</v>
      </c>
      <c r="M137" s="143">
        <v>350000</v>
      </c>
      <c r="N137" s="40"/>
      <c r="O137" s="42">
        <f t="shared" si="36"/>
        <v>350000</v>
      </c>
      <c r="Q137" s="3">
        <f t="shared" si="35"/>
        <v>350000</v>
      </c>
    </row>
    <row r="138" spans="1:17" ht="37.5" customHeight="1" x14ac:dyDescent="0.4">
      <c r="A138" s="49">
        <v>48</v>
      </c>
      <c r="B138" s="52" t="s">
        <v>127</v>
      </c>
      <c r="C138" s="279"/>
      <c r="D138" s="32">
        <v>3131</v>
      </c>
      <c r="E138" s="282"/>
      <c r="F138" s="238"/>
      <c r="G138" s="143">
        <v>450000</v>
      </c>
      <c r="H138" s="40"/>
      <c r="I138" s="40"/>
      <c r="J138" s="40">
        <f t="shared" si="37"/>
        <v>0</v>
      </c>
      <c r="K138" s="94"/>
      <c r="L138" s="233">
        <f t="shared" si="32"/>
        <v>0</v>
      </c>
      <c r="M138" s="143">
        <v>450000</v>
      </c>
      <c r="N138" s="40"/>
      <c r="O138" s="42">
        <f t="shared" si="36"/>
        <v>450000</v>
      </c>
      <c r="Q138" s="3">
        <f t="shared" si="35"/>
        <v>450000</v>
      </c>
    </row>
    <row r="139" spans="1:17" ht="37.5" customHeight="1" x14ac:dyDescent="0.4">
      <c r="A139" s="49">
        <v>49</v>
      </c>
      <c r="B139" s="52" t="s">
        <v>128</v>
      </c>
      <c r="C139" s="279"/>
      <c r="D139" s="32">
        <v>3131</v>
      </c>
      <c r="E139" s="282"/>
      <c r="F139" s="238"/>
      <c r="G139" s="143">
        <v>350000</v>
      </c>
      <c r="H139" s="40"/>
      <c r="I139" s="40"/>
      <c r="J139" s="40">
        <f t="shared" si="37"/>
        <v>0</v>
      </c>
      <c r="K139" s="94"/>
      <c r="L139" s="233">
        <f t="shared" si="32"/>
        <v>0</v>
      </c>
      <c r="M139" s="143">
        <v>350000</v>
      </c>
      <c r="N139" s="40"/>
      <c r="O139" s="42">
        <f t="shared" si="36"/>
        <v>350000</v>
      </c>
      <c r="Q139" s="3">
        <f t="shared" si="35"/>
        <v>350000</v>
      </c>
    </row>
    <row r="140" spans="1:17" ht="37.5" customHeight="1" x14ac:dyDescent="0.4">
      <c r="A140" s="49">
        <v>50</v>
      </c>
      <c r="B140" s="51" t="s">
        <v>129</v>
      </c>
      <c r="C140" s="279"/>
      <c r="D140" s="32">
        <v>3131</v>
      </c>
      <c r="E140" s="282"/>
      <c r="F140" s="238"/>
      <c r="G140" s="140">
        <v>350000</v>
      </c>
      <c r="H140" s="40"/>
      <c r="I140" s="40"/>
      <c r="J140" s="40">
        <f t="shared" si="37"/>
        <v>0</v>
      </c>
      <c r="K140" s="94"/>
      <c r="L140" s="233">
        <f t="shared" si="32"/>
        <v>0</v>
      </c>
      <c r="M140" s="140">
        <v>350000</v>
      </c>
      <c r="N140" s="40"/>
      <c r="O140" s="42">
        <f t="shared" si="36"/>
        <v>350000</v>
      </c>
      <c r="Q140" s="3">
        <f t="shared" si="35"/>
        <v>350000</v>
      </c>
    </row>
    <row r="141" spans="1:17" ht="37.5" customHeight="1" x14ac:dyDescent="0.4">
      <c r="A141" s="49">
        <v>51</v>
      </c>
      <c r="B141" s="51" t="s">
        <v>130</v>
      </c>
      <c r="C141" s="279"/>
      <c r="D141" s="32">
        <v>3131</v>
      </c>
      <c r="E141" s="282"/>
      <c r="F141" s="238"/>
      <c r="G141" s="140">
        <v>250000</v>
      </c>
      <c r="H141" s="40"/>
      <c r="I141" s="40"/>
      <c r="J141" s="40">
        <f t="shared" si="37"/>
        <v>0</v>
      </c>
      <c r="K141" s="94"/>
      <c r="L141" s="233">
        <f t="shared" si="32"/>
        <v>0</v>
      </c>
      <c r="M141" s="140">
        <v>250000</v>
      </c>
      <c r="N141" s="40"/>
      <c r="O141" s="42">
        <f t="shared" si="36"/>
        <v>250000</v>
      </c>
      <c r="Q141" s="3">
        <f t="shared" si="35"/>
        <v>250000</v>
      </c>
    </row>
    <row r="142" spans="1:17" ht="37.5" customHeight="1" x14ac:dyDescent="0.4">
      <c r="A142" s="49">
        <v>52</v>
      </c>
      <c r="B142" s="51" t="s">
        <v>131</v>
      </c>
      <c r="C142" s="279"/>
      <c r="D142" s="32">
        <v>3131</v>
      </c>
      <c r="E142" s="282"/>
      <c r="F142" s="238"/>
      <c r="G142" s="140">
        <v>350000</v>
      </c>
      <c r="H142" s="40"/>
      <c r="I142" s="40"/>
      <c r="J142" s="40">
        <f t="shared" si="37"/>
        <v>0</v>
      </c>
      <c r="K142" s="94"/>
      <c r="L142" s="233">
        <f t="shared" si="32"/>
        <v>0</v>
      </c>
      <c r="M142" s="140">
        <v>350000</v>
      </c>
      <c r="N142" s="40"/>
      <c r="O142" s="42">
        <f t="shared" si="36"/>
        <v>350000</v>
      </c>
      <c r="Q142" s="3">
        <f t="shared" si="35"/>
        <v>350000</v>
      </c>
    </row>
    <row r="143" spans="1:17" ht="37.5" customHeight="1" x14ac:dyDescent="0.4">
      <c r="A143" s="49">
        <v>53</v>
      </c>
      <c r="B143" s="51" t="s">
        <v>132</v>
      </c>
      <c r="C143" s="279"/>
      <c r="D143" s="32">
        <v>3131</v>
      </c>
      <c r="E143" s="282"/>
      <c r="F143" s="238"/>
      <c r="G143" s="140">
        <v>350000</v>
      </c>
      <c r="H143" s="40"/>
      <c r="I143" s="40"/>
      <c r="J143" s="40">
        <f t="shared" si="37"/>
        <v>0</v>
      </c>
      <c r="K143" s="94"/>
      <c r="L143" s="233">
        <f t="shared" si="32"/>
        <v>0</v>
      </c>
      <c r="M143" s="140">
        <v>350000</v>
      </c>
      <c r="N143" s="40"/>
      <c r="O143" s="42">
        <f t="shared" si="36"/>
        <v>350000</v>
      </c>
      <c r="Q143" s="3">
        <f t="shared" si="35"/>
        <v>350000</v>
      </c>
    </row>
    <row r="144" spans="1:17" ht="37.5" customHeight="1" x14ac:dyDescent="0.4">
      <c r="A144" s="49">
        <v>54</v>
      </c>
      <c r="B144" s="48" t="s">
        <v>133</v>
      </c>
      <c r="C144" s="279"/>
      <c r="D144" s="32">
        <v>3131</v>
      </c>
      <c r="E144" s="282"/>
      <c r="F144" s="238"/>
      <c r="G144" s="138">
        <v>250000</v>
      </c>
      <c r="H144" s="46">
        <f>175648-17021</f>
        <v>158627</v>
      </c>
      <c r="I144" s="46">
        <v>158626.35</v>
      </c>
      <c r="J144" s="40">
        <f t="shared" si="37"/>
        <v>0.64999999999417923</v>
      </c>
      <c r="K144" s="54">
        <v>158626.35</v>
      </c>
      <c r="L144" s="233">
        <f>K144/G144*100</f>
        <v>63.450539999999997</v>
      </c>
      <c r="M144" s="130">
        <v>91373</v>
      </c>
      <c r="N144" s="46"/>
      <c r="O144" s="42">
        <f>M144-N144</f>
        <v>91373</v>
      </c>
      <c r="Q144" s="3">
        <f t="shared" si="35"/>
        <v>91373</v>
      </c>
    </row>
    <row r="145" spans="1:18" ht="37.5" customHeight="1" x14ac:dyDescent="0.4">
      <c r="A145" s="49">
        <v>55</v>
      </c>
      <c r="B145" s="48" t="s">
        <v>134</v>
      </c>
      <c r="C145" s="279"/>
      <c r="D145" s="32">
        <v>3131</v>
      </c>
      <c r="E145" s="282"/>
      <c r="F145" s="238"/>
      <c r="G145" s="138">
        <v>350000</v>
      </c>
      <c r="H145" s="46">
        <f>340663-307685-32978</f>
        <v>0</v>
      </c>
      <c r="I145" s="46"/>
      <c r="J145" s="40">
        <f t="shared" si="37"/>
        <v>0</v>
      </c>
      <c r="K145" s="54"/>
      <c r="L145" s="233">
        <f t="shared" si="32"/>
        <v>0</v>
      </c>
      <c r="M145" s="138">
        <v>350000</v>
      </c>
      <c r="N145" s="46"/>
      <c r="O145" s="42">
        <f t="shared" ref="O145:O154" si="38">M145-N145</f>
        <v>350000</v>
      </c>
      <c r="Q145" s="3">
        <f t="shared" si="35"/>
        <v>350000</v>
      </c>
    </row>
    <row r="146" spans="1:18" ht="37.5" customHeight="1" x14ac:dyDescent="0.4">
      <c r="A146" s="49">
        <v>56</v>
      </c>
      <c r="B146" s="48" t="s">
        <v>135</v>
      </c>
      <c r="C146" s="279"/>
      <c r="D146" s="32">
        <v>3131</v>
      </c>
      <c r="E146" s="282"/>
      <c r="F146" s="238"/>
      <c r="G146" s="138">
        <v>250000</v>
      </c>
      <c r="H146" s="46">
        <f>238673-205696-32977</f>
        <v>0</v>
      </c>
      <c r="I146" s="46"/>
      <c r="J146" s="40">
        <f t="shared" si="37"/>
        <v>0</v>
      </c>
      <c r="K146" s="54"/>
      <c r="L146" s="233">
        <f t="shared" ref="L146:M184" si="39">K146/G146*100</f>
        <v>0</v>
      </c>
      <c r="M146" s="138">
        <v>250000</v>
      </c>
      <c r="N146" s="46"/>
      <c r="O146" s="42">
        <f t="shared" si="38"/>
        <v>250000</v>
      </c>
      <c r="Q146" s="3">
        <f t="shared" si="35"/>
        <v>250000</v>
      </c>
    </row>
    <row r="147" spans="1:18" ht="37.5" customHeight="1" x14ac:dyDescent="0.4">
      <c r="A147" s="49">
        <v>57</v>
      </c>
      <c r="B147" s="48" t="s">
        <v>137</v>
      </c>
      <c r="C147" s="279"/>
      <c r="D147" s="32">
        <v>3131</v>
      </c>
      <c r="E147" s="282"/>
      <c r="F147" s="238"/>
      <c r="G147" s="138">
        <v>350000</v>
      </c>
      <c r="H147" s="46">
        <v>350000</v>
      </c>
      <c r="I147" s="46">
        <v>32976.839999999997</v>
      </c>
      <c r="J147" s="40">
        <f t="shared" si="37"/>
        <v>317023.16000000003</v>
      </c>
      <c r="K147" s="46">
        <v>32976.839999999997</v>
      </c>
      <c r="L147" s="233">
        <f t="shared" si="39"/>
        <v>9.4219542857142855</v>
      </c>
      <c r="M147" s="130"/>
      <c r="N147" s="46"/>
      <c r="O147" s="42">
        <f t="shared" si="38"/>
        <v>0</v>
      </c>
      <c r="Q147" s="3">
        <f t="shared" si="35"/>
        <v>0</v>
      </c>
    </row>
    <row r="148" spans="1:18" ht="37.5" customHeight="1" x14ac:dyDescent="0.4">
      <c r="A148" s="49">
        <v>58</v>
      </c>
      <c r="B148" s="48" t="s">
        <v>260</v>
      </c>
      <c r="C148" s="279"/>
      <c r="D148" s="32">
        <v>3131</v>
      </c>
      <c r="E148" s="282"/>
      <c r="F148" s="238"/>
      <c r="G148" s="138">
        <v>350000</v>
      </c>
      <c r="H148" s="46">
        <v>350000</v>
      </c>
      <c r="I148" s="46">
        <f>32976.84+314747.17</f>
        <v>347724.01</v>
      </c>
      <c r="J148" s="40">
        <f t="shared" si="37"/>
        <v>2275.9899999999907</v>
      </c>
      <c r="K148" s="46">
        <f>32976.84+314747.17</f>
        <v>347724.01</v>
      </c>
      <c r="L148" s="233">
        <f t="shared" si="39"/>
        <v>99.349717142857145</v>
      </c>
      <c r="M148" s="130"/>
      <c r="N148" s="46"/>
      <c r="O148" s="42">
        <f t="shared" si="38"/>
        <v>0</v>
      </c>
      <c r="Q148" s="3">
        <f t="shared" si="35"/>
        <v>0</v>
      </c>
    </row>
    <row r="149" spans="1:18" ht="37.5" customHeight="1" x14ac:dyDescent="0.4">
      <c r="A149" s="49">
        <v>59</v>
      </c>
      <c r="B149" s="48" t="s">
        <v>138</v>
      </c>
      <c r="C149" s="279"/>
      <c r="D149" s="32">
        <v>3131</v>
      </c>
      <c r="E149" s="282"/>
      <c r="F149" s="238"/>
      <c r="G149" s="146">
        <v>250000</v>
      </c>
      <c r="H149" s="54">
        <f>242213-209236-32977</f>
        <v>0</v>
      </c>
      <c r="I149" s="54"/>
      <c r="J149" s="40">
        <f t="shared" si="37"/>
        <v>0</v>
      </c>
      <c r="K149" s="54"/>
      <c r="L149" s="233">
        <f t="shared" si="39"/>
        <v>0</v>
      </c>
      <c r="M149" s="130">
        <v>250000</v>
      </c>
      <c r="N149" s="46"/>
      <c r="O149" s="42">
        <f t="shared" si="38"/>
        <v>250000</v>
      </c>
      <c r="Q149" s="3">
        <f t="shared" ref="Q149:Q155" si="40">G149-J149-I149</f>
        <v>250000</v>
      </c>
    </row>
    <row r="150" spans="1:18" ht="37.5" customHeight="1" x14ac:dyDescent="0.4">
      <c r="A150" s="49">
        <v>60</v>
      </c>
      <c r="B150" s="48" t="s">
        <v>139</v>
      </c>
      <c r="C150" s="279"/>
      <c r="D150" s="32">
        <v>3131</v>
      </c>
      <c r="E150" s="282"/>
      <c r="F150" s="238"/>
      <c r="G150" s="138">
        <v>250000</v>
      </c>
      <c r="H150" s="46">
        <f>243462-210485-32977</f>
        <v>0</v>
      </c>
      <c r="I150" s="46"/>
      <c r="J150" s="40">
        <f t="shared" si="37"/>
        <v>0</v>
      </c>
      <c r="K150" s="46"/>
      <c r="L150" s="233">
        <f t="shared" si="39"/>
        <v>0</v>
      </c>
      <c r="M150" s="130">
        <v>250000</v>
      </c>
      <c r="N150" s="46"/>
      <c r="O150" s="42">
        <f t="shared" si="38"/>
        <v>250000</v>
      </c>
      <c r="Q150" s="3">
        <f t="shared" si="40"/>
        <v>250000</v>
      </c>
    </row>
    <row r="151" spans="1:18" ht="37.5" customHeight="1" x14ac:dyDescent="0.4">
      <c r="A151" s="49">
        <v>61</v>
      </c>
      <c r="B151" s="48" t="s">
        <v>259</v>
      </c>
      <c r="C151" s="279"/>
      <c r="D151" s="32">
        <v>3131</v>
      </c>
      <c r="E151" s="282"/>
      <c r="F151" s="238"/>
      <c r="G151" s="138">
        <v>200000</v>
      </c>
      <c r="H151" s="46">
        <v>200000</v>
      </c>
      <c r="I151" s="46">
        <f>32976.84+161173.38</f>
        <v>194150.22</v>
      </c>
      <c r="J151" s="40">
        <f t="shared" ref="J151:J154" si="41">H151-I151</f>
        <v>5849.7799999999988</v>
      </c>
      <c r="K151" s="46">
        <f>32976.84+161173.38</f>
        <v>194150.22</v>
      </c>
      <c r="L151" s="233">
        <f t="shared" si="39"/>
        <v>97.075109999999995</v>
      </c>
      <c r="M151" s="130"/>
      <c r="N151" s="46"/>
      <c r="O151" s="42">
        <f t="shared" si="38"/>
        <v>0</v>
      </c>
      <c r="Q151" s="3">
        <f t="shared" si="40"/>
        <v>0</v>
      </c>
    </row>
    <row r="152" spans="1:18" ht="37.5" customHeight="1" x14ac:dyDescent="0.4">
      <c r="A152" s="49">
        <v>62</v>
      </c>
      <c r="B152" s="48" t="s">
        <v>140</v>
      </c>
      <c r="C152" s="279"/>
      <c r="D152" s="32">
        <v>3131</v>
      </c>
      <c r="E152" s="282"/>
      <c r="F152" s="238"/>
      <c r="G152" s="138">
        <v>250000</v>
      </c>
      <c r="H152" s="46">
        <f>242255-209278-32977</f>
        <v>0</v>
      </c>
      <c r="I152" s="46"/>
      <c r="J152" s="40">
        <f t="shared" si="41"/>
        <v>0</v>
      </c>
      <c r="K152" s="46"/>
      <c r="L152" s="233">
        <f t="shared" si="39"/>
        <v>0</v>
      </c>
      <c r="M152" s="138">
        <v>250000</v>
      </c>
      <c r="N152" s="46"/>
      <c r="O152" s="42">
        <f t="shared" si="38"/>
        <v>250000</v>
      </c>
      <c r="Q152" s="3">
        <f t="shared" si="40"/>
        <v>250000</v>
      </c>
    </row>
    <row r="153" spans="1:18" ht="37.5" customHeight="1" x14ac:dyDescent="0.4">
      <c r="A153" s="49">
        <v>63</v>
      </c>
      <c r="B153" s="48" t="s">
        <v>141</v>
      </c>
      <c r="C153" s="279"/>
      <c r="D153" s="32">
        <v>3131</v>
      </c>
      <c r="E153" s="282"/>
      <c r="F153" s="238"/>
      <c r="G153" s="138">
        <v>250000</v>
      </c>
      <c r="H153" s="46">
        <f>242255-192255-50000</f>
        <v>0</v>
      </c>
      <c r="I153" s="46"/>
      <c r="J153" s="40">
        <f t="shared" si="41"/>
        <v>0</v>
      </c>
      <c r="K153" s="46"/>
      <c r="L153" s="233">
        <f t="shared" si="39"/>
        <v>0</v>
      </c>
      <c r="M153" s="138">
        <v>250000</v>
      </c>
      <c r="N153" s="46"/>
      <c r="O153" s="42">
        <f t="shared" si="38"/>
        <v>250000</v>
      </c>
      <c r="Q153" s="3">
        <f t="shared" si="40"/>
        <v>250000</v>
      </c>
    </row>
    <row r="154" spans="1:18" ht="37.5" customHeight="1" x14ac:dyDescent="0.4">
      <c r="A154" s="49">
        <v>64</v>
      </c>
      <c r="B154" s="48" t="s">
        <v>142</v>
      </c>
      <c r="C154" s="279"/>
      <c r="D154" s="32">
        <v>3131</v>
      </c>
      <c r="E154" s="283"/>
      <c r="F154" s="246"/>
      <c r="G154" s="138">
        <v>250000</v>
      </c>
      <c r="H154" s="46">
        <f>243121-142637-100484</f>
        <v>0</v>
      </c>
      <c r="I154" s="46"/>
      <c r="J154" s="40">
        <f t="shared" si="41"/>
        <v>0</v>
      </c>
      <c r="K154" s="46"/>
      <c r="L154" s="233">
        <f t="shared" si="39"/>
        <v>0</v>
      </c>
      <c r="M154" s="138">
        <v>250000</v>
      </c>
      <c r="N154" s="46"/>
      <c r="O154" s="42">
        <f t="shared" si="38"/>
        <v>250000</v>
      </c>
      <c r="Q154" s="3">
        <f t="shared" si="40"/>
        <v>250000</v>
      </c>
    </row>
    <row r="155" spans="1:18" ht="103.5" customHeight="1" x14ac:dyDescent="0.4">
      <c r="A155" s="58">
        <v>6011</v>
      </c>
      <c r="B155" s="43" t="s">
        <v>63</v>
      </c>
      <c r="C155" s="279"/>
      <c r="D155" s="120">
        <v>3131</v>
      </c>
      <c r="E155" s="14" t="s">
        <v>271</v>
      </c>
      <c r="F155" s="14"/>
      <c r="G155" s="269">
        <f>SUM(H156:H176)</f>
        <v>20193600</v>
      </c>
      <c r="H155" s="14">
        <f>SUM(I156:I176)</f>
        <v>14359655.349999998</v>
      </c>
      <c r="I155" s="14">
        <f>SUM(I156:I176)</f>
        <v>14359655.349999998</v>
      </c>
      <c r="J155" s="14">
        <f>SUM(K156:L176)</f>
        <v>14360980.741374858</v>
      </c>
      <c r="K155" s="14">
        <f>SUM(K156:K176)</f>
        <v>14359655.350000001</v>
      </c>
      <c r="L155" s="268">
        <f>K155/G155*100</f>
        <v>71.109932602408691</v>
      </c>
      <c r="M155" s="139">
        <f>SUM(N156:N176)</f>
        <v>1554214</v>
      </c>
      <c r="N155" s="14">
        <f>SUM(O156:O176)</f>
        <v>0</v>
      </c>
      <c r="O155" s="14"/>
      <c r="Q155" s="3">
        <f t="shared" si="40"/>
        <v>-8527036.0913748555</v>
      </c>
      <c r="R155" s="3"/>
    </row>
    <row r="156" spans="1:18" ht="52.5" customHeight="1" x14ac:dyDescent="0.4">
      <c r="A156" s="49">
        <v>1</v>
      </c>
      <c r="B156" s="55" t="s">
        <v>143</v>
      </c>
      <c r="C156" s="279"/>
      <c r="D156" s="32">
        <v>3131</v>
      </c>
      <c r="E156" s="281" t="s">
        <v>271</v>
      </c>
      <c r="F156" s="281"/>
      <c r="G156" s="40">
        <v>780000</v>
      </c>
      <c r="H156" s="147">
        <v>780000</v>
      </c>
      <c r="I156" s="270"/>
      <c r="J156" s="270"/>
      <c r="K156" s="270"/>
      <c r="L156" s="268">
        <f t="shared" ref="L156:L176" si="42">K156/G156*100</f>
        <v>0</v>
      </c>
      <c r="M156" s="233">
        <f t="shared" si="39"/>
        <v>0</v>
      </c>
      <c r="N156" s="130"/>
      <c r="O156" s="14"/>
      <c r="P156" s="42">
        <f t="shared" ref="P156:P173" si="43">N156-O156</f>
        <v>0</v>
      </c>
      <c r="Q156" s="5"/>
      <c r="R156" s="3"/>
    </row>
    <row r="157" spans="1:18" ht="52.5" customHeight="1" x14ac:dyDescent="0.4">
      <c r="A157" s="49">
        <v>2</v>
      </c>
      <c r="B157" s="55" t="s">
        <v>144</v>
      </c>
      <c r="C157" s="279"/>
      <c r="D157" s="32">
        <v>3131</v>
      </c>
      <c r="E157" s="282"/>
      <c r="F157" s="282"/>
      <c r="G157" s="40">
        <v>800000</v>
      </c>
      <c r="H157" s="147">
        <v>800000</v>
      </c>
      <c r="I157" s="270"/>
      <c r="J157" s="270"/>
      <c r="K157" s="270"/>
      <c r="L157" s="268">
        <f t="shared" si="42"/>
        <v>0</v>
      </c>
      <c r="M157" s="233">
        <f t="shared" si="39"/>
        <v>0</v>
      </c>
      <c r="N157" s="130"/>
      <c r="O157" s="14"/>
      <c r="P157" s="42">
        <f t="shared" si="43"/>
        <v>0</v>
      </c>
      <c r="Q157" s="5"/>
      <c r="R157" s="3"/>
    </row>
    <row r="158" spans="1:18" ht="39" customHeight="1" x14ac:dyDescent="0.4">
      <c r="A158" s="49">
        <v>3</v>
      </c>
      <c r="B158" s="48" t="s">
        <v>145</v>
      </c>
      <c r="C158" s="279"/>
      <c r="D158" s="32">
        <v>3131</v>
      </c>
      <c r="E158" s="282"/>
      <c r="F158" s="282"/>
      <c r="G158" s="40">
        <v>630000</v>
      </c>
      <c r="H158" s="130">
        <v>630000</v>
      </c>
      <c r="I158" s="270">
        <v>593405.87</v>
      </c>
      <c r="J158" s="270">
        <v>593405.87</v>
      </c>
      <c r="K158" s="270">
        <v>593405.87</v>
      </c>
      <c r="L158" s="268">
        <f>K158/G158*100</f>
        <v>94.191407936507929</v>
      </c>
      <c r="M158" s="233">
        <f t="shared" si="39"/>
        <v>1.4951017132779037E-2</v>
      </c>
      <c r="N158" s="130">
        <v>36593</v>
      </c>
      <c r="O158" s="14"/>
      <c r="P158" s="42">
        <f t="shared" si="43"/>
        <v>36593</v>
      </c>
      <c r="Q158" s="5"/>
      <c r="R158" s="3"/>
    </row>
    <row r="159" spans="1:18" ht="39" customHeight="1" x14ac:dyDescent="0.4">
      <c r="A159" s="49">
        <v>4</v>
      </c>
      <c r="B159" s="48" t="s">
        <v>146</v>
      </c>
      <c r="C159" s="279"/>
      <c r="D159" s="32">
        <v>3131</v>
      </c>
      <c r="E159" s="282"/>
      <c r="F159" s="282"/>
      <c r="G159" s="40">
        <v>945000</v>
      </c>
      <c r="H159" s="130">
        <v>945000</v>
      </c>
      <c r="I159" s="270">
        <v>887870.44</v>
      </c>
      <c r="J159" s="270">
        <v>887870.44</v>
      </c>
      <c r="K159" s="270">
        <v>887870.44</v>
      </c>
      <c r="L159" s="268">
        <f t="shared" si="42"/>
        <v>93.954543915343919</v>
      </c>
      <c r="M159" s="233">
        <f t="shared" si="39"/>
        <v>9.9422797794014722E-3</v>
      </c>
      <c r="N159" s="130">
        <v>57129</v>
      </c>
      <c r="O159" s="14"/>
      <c r="P159" s="42">
        <f t="shared" si="43"/>
        <v>57129</v>
      </c>
      <c r="Q159" s="5"/>
      <c r="R159" s="3"/>
    </row>
    <row r="160" spans="1:18" ht="39" customHeight="1" x14ac:dyDescent="0.4">
      <c r="A160" s="49">
        <v>5</v>
      </c>
      <c r="B160" s="48" t="s">
        <v>147</v>
      </c>
      <c r="C160" s="279"/>
      <c r="D160" s="32">
        <v>3131</v>
      </c>
      <c r="E160" s="282"/>
      <c r="F160" s="282"/>
      <c r="G160" s="40">
        <v>475000</v>
      </c>
      <c r="H160" s="130">
        <v>475000</v>
      </c>
      <c r="I160" s="270">
        <v>443764.32</v>
      </c>
      <c r="J160" s="270">
        <v>443764.32</v>
      </c>
      <c r="K160" s="270">
        <v>443764.32</v>
      </c>
      <c r="L160" s="268">
        <f t="shared" si="42"/>
        <v>93.424067368421049</v>
      </c>
      <c r="M160" s="233">
        <f t="shared" si="39"/>
        <v>1.9668224709141272E-2</v>
      </c>
      <c r="N160" s="130">
        <v>31235</v>
      </c>
      <c r="O160" s="14"/>
      <c r="P160" s="42">
        <f t="shared" si="43"/>
        <v>31235</v>
      </c>
      <c r="Q160" s="5"/>
      <c r="R160" s="3"/>
    </row>
    <row r="161" spans="1:18" ht="39" customHeight="1" x14ac:dyDescent="0.4">
      <c r="A161" s="49">
        <v>6</v>
      </c>
      <c r="B161" s="48" t="s">
        <v>136</v>
      </c>
      <c r="C161" s="279"/>
      <c r="D161" s="32">
        <v>3131</v>
      </c>
      <c r="E161" s="282"/>
      <c r="F161" s="282"/>
      <c r="G161" s="40">
        <v>475000</v>
      </c>
      <c r="H161" s="130">
        <v>475000</v>
      </c>
      <c r="I161" s="270">
        <v>444833.89</v>
      </c>
      <c r="J161" s="270">
        <v>444833.89</v>
      </c>
      <c r="K161" s="270">
        <v>444833.89</v>
      </c>
      <c r="L161" s="268">
        <f t="shared" si="42"/>
        <v>93.649240000000006</v>
      </c>
      <c r="M161" s="233">
        <f t="shared" si="39"/>
        <v>1.9715629473684212E-2</v>
      </c>
      <c r="N161" s="130">
        <v>30165</v>
      </c>
      <c r="O161" s="14"/>
      <c r="P161" s="42">
        <f t="shared" si="43"/>
        <v>30165</v>
      </c>
      <c r="Q161" s="5"/>
      <c r="R161" s="3"/>
    </row>
    <row r="162" spans="1:18" ht="39" customHeight="1" x14ac:dyDescent="0.4">
      <c r="A162" s="49">
        <v>7</v>
      </c>
      <c r="B162" s="48" t="s">
        <v>148</v>
      </c>
      <c r="C162" s="279"/>
      <c r="D162" s="32">
        <v>3131</v>
      </c>
      <c r="E162" s="282"/>
      <c r="F162" s="282"/>
      <c r="G162" s="40">
        <v>400000</v>
      </c>
      <c r="H162" s="130">
        <v>400000</v>
      </c>
      <c r="I162" s="270">
        <v>382609.78</v>
      </c>
      <c r="J162" s="270">
        <v>382609.78</v>
      </c>
      <c r="K162" s="270">
        <v>382609.78</v>
      </c>
      <c r="L162" s="268">
        <f t="shared" si="42"/>
        <v>95.652445000000014</v>
      </c>
      <c r="M162" s="233">
        <f t="shared" si="39"/>
        <v>2.3913111250000001E-2</v>
      </c>
      <c r="N162" s="130">
        <v>17390</v>
      </c>
      <c r="O162" s="14"/>
      <c r="P162" s="42">
        <f t="shared" si="43"/>
        <v>17390</v>
      </c>
      <c r="Q162" s="5"/>
      <c r="R162" s="3"/>
    </row>
    <row r="163" spans="1:18" ht="39" customHeight="1" x14ac:dyDescent="0.4">
      <c r="A163" s="49">
        <v>8</v>
      </c>
      <c r="B163" s="48" t="s">
        <v>52</v>
      </c>
      <c r="C163" s="279"/>
      <c r="D163" s="32">
        <v>3131</v>
      </c>
      <c r="E163" s="282"/>
      <c r="F163" s="282"/>
      <c r="G163" s="40">
        <v>1686000</v>
      </c>
      <c r="H163" s="130">
        <v>1686000</v>
      </c>
      <c r="I163" s="270">
        <v>1645372.15</v>
      </c>
      <c r="J163" s="270">
        <v>1645372.15</v>
      </c>
      <c r="K163" s="270">
        <v>1645372.1500000001</v>
      </c>
      <c r="L163" s="268">
        <f t="shared" si="42"/>
        <v>97.590281731909855</v>
      </c>
      <c r="M163" s="233">
        <f t="shared" si="39"/>
        <v>5.7882729378356977E-3</v>
      </c>
      <c r="N163" s="130">
        <v>40627</v>
      </c>
      <c r="O163" s="14"/>
      <c r="P163" s="42">
        <f t="shared" si="43"/>
        <v>40627</v>
      </c>
      <c r="Q163" s="5"/>
      <c r="R163" s="3"/>
    </row>
    <row r="164" spans="1:18" ht="39" customHeight="1" x14ac:dyDescent="0.4">
      <c r="A164" s="49">
        <v>9</v>
      </c>
      <c r="B164" s="48" t="s">
        <v>149</v>
      </c>
      <c r="C164" s="279"/>
      <c r="D164" s="32">
        <v>3131</v>
      </c>
      <c r="E164" s="282"/>
      <c r="F164" s="282"/>
      <c r="G164" s="40">
        <v>660000</v>
      </c>
      <c r="H164" s="130">
        <v>660000</v>
      </c>
      <c r="I164" s="270"/>
      <c r="J164" s="270"/>
      <c r="K164" s="270">
        <f t="shared" ref="K164:K176" si="44">I164-J164</f>
        <v>0</v>
      </c>
      <c r="L164" s="268">
        <f t="shared" si="42"/>
        <v>0</v>
      </c>
      <c r="M164" s="233">
        <f t="shared" si="39"/>
        <v>0</v>
      </c>
      <c r="N164" s="130">
        <v>12241</v>
      </c>
      <c r="O164" s="14"/>
      <c r="P164" s="42">
        <f t="shared" si="43"/>
        <v>12241</v>
      </c>
      <c r="Q164" s="5"/>
      <c r="R164" s="3"/>
    </row>
    <row r="165" spans="1:18" ht="39" customHeight="1" x14ac:dyDescent="0.4">
      <c r="A165" s="49">
        <v>10</v>
      </c>
      <c r="B165" s="48" t="s">
        <v>150</v>
      </c>
      <c r="C165" s="279"/>
      <c r="D165" s="32">
        <v>3131</v>
      </c>
      <c r="E165" s="282"/>
      <c r="F165" s="282"/>
      <c r="G165" s="40">
        <v>1152000</v>
      </c>
      <c r="H165" s="138">
        <v>1152000</v>
      </c>
      <c r="I165" s="270"/>
      <c r="J165" s="270"/>
      <c r="K165" s="270">
        <f t="shared" si="44"/>
        <v>0</v>
      </c>
      <c r="L165" s="268">
        <f t="shared" si="42"/>
        <v>0</v>
      </c>
      <c r="M165" s="233">
        <f t="shared" si="39"/>
        <v>0</v>
      </c>
      <c r="N165" s="130">
        <v>47114</v>
      </c>
      <c r="O165" s="14"/>
      <c r="P165" s="42">
        <f t="shared" si="43"/>
        <v>47114</v>
      </c>
      <c r="Q165" s="5"/>
      <c r="R165" s="3"/>
    </row>
    <row r="166" spans="1:18" ht="39" customHeight="1" x14ac:dyDescent="0.4">
      <c r="A166" s="49">
        <v>11</v>
      </c>
      <c r="B166" s="48" t="s">
        <v>151</v>
      </c>
      <c r="C166" s="279"/>
      <c r="D166" s="32">
        <v>3131</v>
      </c>
      <c r="E166" s="282"/>
      <c r="F166" s="282"/>
      <c r="G166" s="40">
        <v>440000</v>
      </c>
      <c r="H166" s="130">
        <v>440000</v>
      </c>
      <c r="I166" s="270"/>
      <c r="J166" s="270"/>
      <c r="K166" s="270">
        <f t="shared" si="44"/>
        <v>0</v>
      </c>
      <c r="L166" s="268">
        <f t="shared" si="42"/>
        <v>0</v>
      </c>
      <c r="M166" s="233">
        <f t="shared" si="39"/>
        <v>0</v>
      </c>
      <c r="N166" s="130">
        <v>105901</v>
      </c>
      <c r="O166" s="14"/>
      <c r="P166" s="42">
        <f t="shared" si="43"/>
        <v>105901</v>
      </c>
      <c r="Q166" s="5"/>
      <c r="R166" s="3"/>
    </row>
    <row r="167" spans="1:18" ht="39" customHeight="1" x14ac:dyDescent="0.4">
      <c r="A167" s="49">
        <v>12</v>
      </c>
      <c r="B167" s="48" t="s">
        <v>261</v>
      </c>
      <c r="C167" s="279"/>
      <c r="D167" s="32">
        <v>3131</v>
      </c>
      <c r="E167" s="282"/>
      <c r="F167" s="282"/>
      <c r="G167" s="40">
        <v>1440000</v>
      </c>
      <c r="H167" s="130">
        <v>1440000</v>
      </c>
      <c r="I167" s="270">
        <v>1169601.93</v>
      </c>
      <c r="J167" s="270">
        <v>1169601.93</v>
      </c>
      <c r="K167" s="270">
        <v>1169601.93</v>
      </c>
      <c r="L167" s="268">
        <f t="shared" si="42"/>
        <v>81.22235624999999</v>
      </c>
      <c r="M167" s="233">
        <f t="shared" si="39"/>
        <v>5.6404414062499993E-3</v>
      </c>
      <c r="N167" s="130">
        <v>270398</v>
      </c>
      <c r="O167" s="14"/>
      <c r="P167" s="42">
        <f t="shared" si="43"/>
        <v>270398</v>
      </c>
      <c r="Q167" s="5"/>
      <c r="R167" s="3"/>
    </row>
    <row r="168" spans="1:18" ht="39" customHeight="1" x14ac:dyDescent="0.4">
      <c r="A168" s="49">
        <v>13</v>
      </c>
      <c r="B168" s="48" t="s">
        <v>152</v>
      </c>
      <c r="C168" s="279"/>
      <c r="D168" s="32">
        <v>3131</v>
      </c>
      <c r="E168" s="282"/>
      <c r="F168" s="282"/>
      <c r="G168" s="40">
        <v>470000</v>
      </c>
      <c r="H168" s="130">
        <v>470000</v>
      </c>
      <c r="I168" s="270">
        <v>447986.53</v>
      </c>
      <c r="J168" s="270">
        <v>447986.53</v>
      </c>
      <c r="K168" s="270">
        <v>447986.53</v>
      </c>
      <c r="L168" s="268">
        <f t="shared" si="42"/>
        <v>95.316282978723407</v>
      </c>
      <c r="M168" s="233">
        <f t="shared" si="39"/>
        <v>2.0280060208239022E-2</v>
      </c>
      <c r="N168" s="130">
        <v>22013</v>
      </c>
      <c r="O168" s="14"/>
      <c r="P168" s="42">
        <f t="shared" si="43"/>
        <v>22013</v>
      </c>
      <c r="Q168" s="5"/>
      <c r="R168" s="3"/>
    </row>
    <row r="169" spans="1:18" ht="39" customHeight="1" x14ac:dyDescent="0.4">
      <c r="A169" s="49">
        <v>14</v>
      </c>
      <c r="B169" s="48" t="s">
        <v>56</v>
      </c>
      <c r="C169" s="279"/>
      <c r="D169" s="32">
        <v>3131</v>
      </c>
      <c r="E169" s="282"/>
      <c r="F169" s="282"/>
      <c r="G169" s="40">
        <v>300900</v>
      </c>
      <c r="H169" s="130">
        <v>300900</v>
      </c>
      <c r="I169" s="270">
        <v>298980.34000000003</v>
      </c>
      <c r="J169" s="270">
        <v>298980.34000000003</v>
      </c>
      <c r="K169" s="270">
        <v>298980.33999999997</v>
      </c>
      <c r="L169" s="268">
        <f t="shared" si="42"/>
        <v>99.362027251578581</v>
      </c>
      <c r="M169" s="233">
        <f t="shared" si="39"/>
        <v>3.3021610917772871E-2</v>
      </c>
      <c r="N169" s="130">
        <v>1919</v>
      </c>
      <c r="O169" s="14"/>
      <c r="P169" s="42">
        <f t="shared" si="43"/>
        <v>1919</v>
      </c>
      <c r="Q169" s="5"/>
      <c r="R169" s="3"/>
    </row>
    <row r="170" spans="1:18" ht="39" customHeight="1" x14ac:dyDescent="0.4">
      <c r="A170" s="49">
        <v>15</v>
      </c>
      <c r="B170" s="48" t="s">
        <v>153</v>
      </c>
      <c r="C170" s="279"/>
      <c r="D170" s="32">
        <v>3131</v>
      </c>
      <c r="E170" s="282"/>
      <c r="F170" s="282"/>
      <c r="G170" s="40">
        <v>1830000</v>
      </c>
      <c r="H170" s="130">
        <v>1830000</v>
      </c>
      <c r="I170" s="270">
        <v>1800511.81</v>
      </c>
      <c r="J170" s="270">
        <v>1800511.81</v>
      </c>
      <c r="K170" s="270">
        <v>1800511.81</v>
      </c>
      <c r="L170" s="268">
        <f t="shared" si="42"/>
        <v>98.388623497267758</v>
      </c>
      <c r="M170" s="233">
        <f t="shared" si="39"/>
        <v>5.3764275135118993E-3</v>
      </c>
      <c r="N170" s="130">
        <v>29488</v>
      </c>
      <c r="O170" s="14"/>
      <c r="P170" s="42">
        <f t="shared" si="43"/>
        <v>29488</v>
      </c>
      <c r="Q170" s="5"/>
      <c r="R170" s="3"/>
    </row>
    <row r="171" spans="1:18" ht="39" customHeight="1" x14ac:dyDescent="0.4">
      <c r="A171" s="49">
        <v>16</v>
      </c>
      <c r="B171" s="48" t="s">
        <v>154</v>
      </c>
      <c r="C171" s="279"/>
      <c r="D171" s="32">
        <v>3131</v>
      </c>
      <c r="E171" s="282"/>
      <c r="F171" s="282"/>
      <c r="G171" s="40">
        <v>1656000</v>
      </c>
      <c r="H171" s="130">
        <v>1656000</v>
      </c>
      <c r="I171" s="270">
        <v>1592277.54</v>
      </c>
      <c r="J171" s="270">
        <v>1592277.54</v>
      </c>
      <c r="K171" s="270">
        <v>1592277.54</v>
      </c>
      <c r="L171" s="268">
        <f t="shared" si="42"/>
        <v>96.152025362318838</v>
      </c>
      <c r="M171" s="233">
        <f t="shared" si="39"/>
        <v>5.8062817247777074E-3</v>
      </c>
      <c r="N171" s="130">
        <v>63722</v>
      </c>
      <c r="O171" s="14"/>
      <c r="P171" s="42">
        <f t="shared" si="43"/>
        <v>63722</v>
      </c>
      <c r="Q171" s="5"/>
      <c r="R171" s="3"/>
    </row>
    <row r="172" spans="1:18" ht="39" customHeight="1" x14ac:dyDescent="0.4">
      <c r="A172" s="49">
        <v>17</v>
      </c>
      <c r="B172" s="48" t="s">
        <v>155</v>
      </c>
      <c r="C172" s="279"/>
      <c r="D172" s="32">
        <v>3131</v>
      </c>
      <c r="E172" s="282"/>
      <c r="F172" s="282"/>
      <c r="G172" s="40">
        <v>1664000</v>
      </c>
      <c r="H172" s="130">
        <v>1664000</v>
      </c>
      <c r="I172" s="270">
        <v>1644550.41</v>
      </c>
      <c r="J172" s="270">
        <v>1644550.41</v>
      </c>
      <c r="K172" s="270">
        <v>1644550.41</v>
      </c>
      <c r="L172" s="268">
        <f t="shared" si="42"/>
        <v>98.831154447115381</v>
      </c>
      <c r="M172" s="233">
        <f t="shared" si="39"/>
        <v>5.9393722624468378E-3</v>
      </c>
      <c r="N172" s="130">
        <v>19449</v>
      </c>
      <c r="O172" s="14"/>
      <c r="P172" s="42">
        <f t="shared" si="43"/>
        <v>19449</v>
      </c>
      <c r="Q172" s="5"/>
      <c r="R172" s="3"/>
    </row>
    <row r="173" spans="1:18" ht="39" customHeight="1" x14ac:dyDescent="0.4">
      <c r="A173" s="49">
        <v>18</v>
      </c>
      <c r="B173" s="48" t="s">
        <v>156</v>
      </c>
      <c r="C173" s="279"/>
      <c r="D173" s="32">
        <v>3131</v>
      </c>
      <c r="E173" s="282"/>
      <c r="F173" s="282"/>
      <c r="G173" s="40">
        <v>2700000</v>
      </c>
      <c r="H173" s="130">
        <v>2700000</v>
      </c>
      <c r="I173" s="270">
        <f>32976.84+2458174.8</f>
        <v>2491151.6399999997</v>
      </c>
      <c r="J173" s="270">
        <f>32976.84+2458174.8</f>
        <v>2491151.6399999997</v>
      </c>
      <c r="K173" s="270">
        <v>2491151.6399999997</v>
      </c>
      <c r="L173" s="268">
        <f t="shared" si="42"/>
        <v>92.264875555555548</v>
      </c>
      <c r="M173" s="233">
        <f t="shared" si="39"/>
        <v>3.4172176131687243E-3</v>
      </c>
      <c r="N173" s="130">
        <v>208848</v>
      </c>
      <c r="O173" s="14"/>
      <c r="P173" s="42">
        <f t="shared" si="43"/>
        <v>208848</v>
      </c>
      <c r="Q173" s="5"/>
      <c r="R173" s="3"/>
    </row>
    <row r="174" spans="1:18" ht="39" customHeight="1" x14ac:dyDescent="0.4">
      <c r="A174" s="49">
        <v>19</v>
      </c>
      <c r="B174" s="48" t="s">
        <v>157</v>
      </c>
      <c r="C174" s="279"/>
      <c r="D174" s="32">
        <v>3131</v>
      </c>
      <c r="E174" s="282"/>
      <c r="F174" s="282"/>
      <c r="G174" s="40">
        <v>541700</v>
      </c>
      <c r="H174" s="130">
        <v>541700</v>
      </c>
      <c r="I174" s="271">
        <f>32976.84+483761.86</f>
        <v>516738.69999999995</v>
      </c>
      <c r="J174" s="271">
        <f>32976.84+483761.86</f>
        <v>516738.69999999995</v>
      </c>
      <c r="K174" s="271">
        <v>516738.69999999995</v>
      </c>
      <c r="L174" s="268">
        <f t="shared" si="42"/>
        <v>95.392043566549745</v>
      </c>
      <c r="M174" s="233">
        <f t="shared" si="39"/>
        <v>1.7609755135047027E-2</v>
      </c>
      <c r="N174" s="130">
        <v>24961</v>
      </c>
      <c r="O174" s="46"/>
      <c r="P174" s="42">
        <f>N174-O174</f>
        <v>24961</v>
      </c>
      <c r="Q174" s="5"/>
      <c r="R174" s="3"/>
    </row>
    <row r="175" spans="1:18" ht="39" customHeight="1" x14ac:dyDescent="0.4">
      <c r="A175" s="49">
        <v>20</v>
      </c>
      <c r="B175" s="48" t="s">
        <v>158</v>
      </c>
      <c r="C175" s="280"/>
      <c r="D175" s="32">
        <v>3131</v>
      </c>
      <c r="E175" s="282"/>
      <c r="F175" s="282"/>
      <c r="G175" s="40">
        <v>440000</v>
      </c>
      <c r="H175" s="138">
        <v>440000</v>
      </c>
      <c r="I175" s="271"/>
      <c r="J175" s="271"/>
      <c r="K175" s="270">
        <f t="shared" si="44"/>
        <v>0</v>
      </c>
      <c r="L175" s="268">
        <f t="shared" si="42"/>
        <v>0</v>
      </c>
      <c r="M175" s="233">
        <f t="shared" si="39"/>
        <v>0</v>
      </c>
      <c r="N175" s="130">
        <v>12223</v>
      </c>
      <c r="O175" s="46"/>
      <c r="P175" s="42">
        <f>N175-O175</f>
        <v>12223</v>
      </c>
      <c r="Q175" s="5"/>
      <c r="R175" s="3"/>
    </row>
    <row r="176" spans="1:18" ht="39" customHeight="1" x14ac:dyDescent="0.4">
      <c r="A176" s="49">
        <v>21</v>
      </c>
      <c r="B176" s="48" t="s">
        <v>79</v>
      </c>
      <c r="C176" s="31" t="s">
        <v>15</v>
      </c>
      <c r="D176" s="32">
        <v>3131</v>
      </c>
      <c r="E176" s="283"/>
      <c r="F176" s="283"/>
      <c r="G176" s="40">
        <v>708000</v>
      </c>
      <c r="H176" s="138">
        <v>708000</v>
      </c>
      <c r="I176" s="46"/>
      <c r="J176" s="46"/>
      <c r="K176" s="40">
        <f t="shared" si="44"/>
        <v>0</v>
      </c>
      <c r="L176" s="268">
        <f t="shared" si="42"/>
        <v>0</v>
      </c>
      <c r="M176" s="233">
        <f t="shared" si="39"/>
        <v>0</v>
      </c>
      <c r="N176" s="130">
        <v>522798</v>
      </c>
      <c r="O176" s="46"/>
      <c r="P176" s="42">
        <f t="shared" ref="P176" si="45">N176-O176</f>
        <v>522798</v>
      </c>
      <c r="Q176" s="5"/>
      <c r="R176" s="3"/>
    </row>
    <row r="177" spans="1:18" ht="99" customHeight="1" x14ac:dyDescent="0.4">
      <c r="A177" s="58">
        <v>6011</v>
      </c>
      <c r="B177" s="43" t="s">
        <v>63</v>
      </c>
      <c r="C177" s="14" t="s">
        <v>15</v>
      </c>
      <c r="D177" s="120">
        <v>3131</v>
      </c>
      <c r="E177" s="14" t="s">
        <v>277</v>
      </c>
      <c r="F177" s="14"/>
      <c r="G177" s="139">
        <f>SUM(G178:G184)</f>
        <v>13162000</v>
      </c>
      <c r="H177" s="14">
        <f t="shared" ref="H177:O177" si="46">SUM(H178:H184)</f>
        <v>9707850</v>
      </c>
      <c r="I177" s="14">
        <f t="shared" si="46"/>
        <v>9707845.6300000008</v>
      </c>
      <c r="J177" s="14">
        <f t="shared" si="46"/>
        <v>4.3700000001117587</v>
      </c>
      <c r="K177" s="14">
        <f t="shared" si="46"/>
        <v>9707845.6300000008</v>
      </c>
      <c r="L177" s="268">
        <f t="shared" si="39"/>
        <v>73.756614724206045</v>
      </c>
      <c r="M177" s="139">
        <f>SUM(M178:M184)</f>
        <v>3454150</v>
      </c>
      <c r="N177" s="14">
        <f>SUM(N178:N184)</f>
        <v>0</v>
      </c>
      <c r="O177" s="14">
        <f t="shared" si="46"/>
        <v>3454150</v>
      </c>
      <c r="Q177" s="3"/>
    </row>
    <row r="178" spans="1:18" ht="96" customHeight="1" x14ac:dyDescent="0.4">
      <c r="A178" s="45">
        <v>1</v>
      </c>
      <c r="B178" s="48" t="s">
        <v>159</v>
      </c>
      <c r="C178" s="278" t="s">
        <v>15</v>
      </c>
      <c r="D178" s="32">
        <v>3131</v>
      </c>
      <c r="E178" s="281" t="s">
        <v>277</v>
      </c>
      <c r="F178" s="226"/>
      <c r="G178" s="138">
        <v>2200000</v>
      </c>
      <c r="H178" s="44">
        <v>1837682</v>
      </c>
      <c r="I178" s="46">
        <v>1837681.2</v>
      </c>
      <c r="J178" s="46">
        <f t="shared" ref="J178:J184" si="47">H178-I178</f>
        <v>0.80000000004656613</v>
      </c>
      <c r="K178" s="46">
        <v>1837681.2</v>
      </c>
      <c r="L178" s="233">
        <f t="shared" si="39"/>
        <v>83.530963636363637</v>
      </c>
      <c r="M178" s="130">
        <v>362318.00000000023</v>
      </c>
      <c r="N178" s="46"/>
      <c r="O178" s="42">
        <f>M178-N178</f>
        <v>362318.00000000023</v>
      </c>
      <c r="P178" s="56"/>
      <c r="Q178" s="3">
        <f t="shared" ref="Q178:Q184" si="48">G178-J178-I178</f>
        <v>362318.00000000023</v>
      </c>
      <c r="R178" s="3"/>
    </row>
    <row r="179" spans="1:18" ht="96" customHeight="1" x14ac:dyDescent="0.4">
      <c r="A179" s="45">
        <v>2</v>
      </c>
      <c r="B179" s="48" t="s">
        <v>160</v>
      </c>
      <c r="C179" s="279"/>
      <c r="D179" s="32">
        <v>3131</v>
      </c>
      <c r="E179" s="282"/>
      <c r="F179" s="227"/>
      <c r="G179" s="138">
        <v>1900000</v>
      </c>
      <c r="H179" s="44">
        <v>1709970</v>
      </c>
      <c r="I179" s="46">
        <v>1709969.6</v>
      </c>
      <c r="J179" s="46">
        <f t="shared" si="47"/>
        <v>0.39999999990686774</v>
      </c>
      <c r="K179" s="46">
        <v>1709969.6</v>
      </c>
      <c r="L179" s="233">
        <f t="shared" si="39"/>
        <v>89.998400000000004</v>
      </c>
      <c r="M179" s="130">
        <v>190030</v>
      </c>
      <c r="N179" s="46"/>
      <c r="O179" s="42">
        <f t="shared" ref="O179:O184" si="49">M179-N179</f>
        <v>190030</v>
      </c>
      <c r="P179" s="56"/>
      <c r="Q179" s="3">
        <f t="shared" si="48"/>
        <v>190030</v>
      </c>
      <c r="R179" s="3"/>
    </row>
    <row r="180" spans="1:18" ht="96" customHeight="1" x14ac:dyDescent="0.4">
      <c r="A180" s="45">
        <v>3</v>
      </c>
      <c r="B180" s="48" t="s">
        <v>161</v>
      </c>
      <c r="C180" s="279"/>
      <c r="D180" s="32">
        <v>3131</v>
      </c>
      <c r="E180" s="282"/>
      <c r="F180" s="227"/>
      <c r="G180" s="138">
        <f>1800000-638000</f>
        <v>1162000</v>
      </c>
      <c r="H180" s="44">
        <v>884537</v>
      </c>
      <c r="I180" s="46">
        <v>884536.05</v>
      </c>
      <c r="J180" s="46">
        <f t="shared" si="47"/>
        <v>0.94999999995343387</v>
      </c>
      <c r="K180" s="46">
        <v>884536.05</v>
      </c>
      <c r="L180" s="233">
        <f t="shared" si="39"/>
        <v>76.121863166953531</v>
      </c>
      <c r="M180" s="130">
        <v>277463</v>
      </c>
      <c r="N180" s="46"/>
      <c r="O180" s="42">
        <f t="shared" si="49"/>
        <v>277463</v>
      </c>
      <c r="P180" s="56"/>
      <c r="Q180" s="3">
        <f t="shared" si="48"/>
        <v>277463</v>
      </c>
      <c r="R180" s="3"/>
    </row>
    <row r="181" spans="1:18" ht="96" customHeight="1" x14ac:dyDescent="0.4">
      <c r="A181" s="45">
        <v>4</v>
      </c>
      <c r="B181" s="48" t="s">
        <v>162</v>
      </c>
      <c r="C181" s="279"/>
      <c r="D181" s="32">
        <v>3131</v>
      </c>
      <c r="E181" s="282"/>
      <c r="F181" s="227"/>
      <c r="G181" s="138">
        <v>1800000</v>
      </c>
      <c r="H181" s="44">
        <v>1756032</v>
      </c>
      <c r="I181" s="46">
        <v>1756031.4</v>
      </c>
      <c r="J181" s="46">
        <f t="shared" si="47"/>
        <v>0.60000000009313226</v>
      </c>
      <c r="K181" s="46">
        <v>1756031.4</v>
      </c>
      <c r="L181" s="233">
        <f t="shared" si="39"/>
        <v>97.557299999999998</v>
      </c>
      <c r="M181" s="130">
        <v>43968</v>
      </c>
      <c r="N181" s="46"/>
      <c r="O181" s="42">
        <f t="shared" si="49"/>
        <v>43968</v>
      </c>
      <c r="P181" s="56"/>
      <c r="Q181" s="3">
        <f t="shared" si="48"/>
        <v>43968</v>
      </c>
      <c r="R181" s="3"/>
    </row>
    <row r="182" spans="1:18" ht="96" customHeight="1" x14ac:dyDescent="0.4">
      <c r="A182" s="45">
        <v>5</v>
      </c>
      <c r="B182" s="48" t="s">
        <v>163</v>
      </c>
      <c r="C182" s="279"/>
      <c r="D182" s="32">
        <v>3131</v>
      </c>
      <c r="E182" s="282"/>
      <c r="F182" s="227"/>
      <c r="G182" s="138">
        <v>2200000</v>
      </c>
      <c r="H182" s="44">
        <v>1803824</v>
      </c>
      <c r="I182" s="46">
        <v>1803822.9</v>
      </c>
      <c r="J182" s="46">
        <f t="shared" si="47"/>
        <v>1.1000000000931323</v>
      </c>
      <c r="K182" s="46">
        <v>1803822.9</v>
      </c>
      <c r="L182" s="233">
        <f t="shared" si="39"/>
        <v>81.991949999999989</v>
      </c>
      <c r="M182" s="130">
        <v>396176</v>
      </c>
      <c r="N182" s="46"/>
      <c r="O182" s="42">
        <f t="shared" si="49"/>
        <v>396176</v>
      </c>
      <c r="P182" s="56"/>
      <c r="Q182" s="3">
        <f t="shared" si="48"/>
        <v>396176</v>
      </c>
      <c r="R182" s="3"/>
    </row>
    <row r="183" spans="1:18" ht="96" customHeight="1" x14ac:dyDescent="0.4">
      <c r="A183" s="45">
        <v>6</v>
      </c>
      <c r="B183" s="48" t="s">
        <v>164</v>
      </c>
      <c r="C183" s="279"/>
      <c r="D183" s="32">
        <v>3131</v>
      </c>
      <c r="E183" s="282"/>
      <c r="F183" s="227"/>
      <c r="G183" s="138">
        <v>2000000</v>
      </c>
      <c r="H183" s="44">
        <v>1715805</v>
      </c>
      <c r="I183" s="46">
        <f>624260.21+1091544.27</f>
        <v>1715804.48</v>
      </c>
      <c r="J183" s="46">
        <f t="shared" si="47"/>
        <v>0.52000000001862645</v>
      </c>
      <c r="K183" s="46">
        <v>1715804.48</v>
      </c>
      <c r="L183" s="233">
        <f t="shared" si="39"/>
        <v>85.790224000000009</v>
      </c>
      <c r="M183" s="130">
        <v>284195</v>
      </c>
      <c r="N183" s="46"/>
      <c r="O183" s="42">
        <f t="shared" si="49"/>
        <v>284195</v>
      </c>
      <c r="P183" s="56"/>
      <c r="Q183" s="3">
        <f t="shared" si="48"/>
        <v>284195</v>
      </c>
    </row>
    <row r="184" spans="1:18" ht="96" customHeight="1" x14ac:dyDescent="0.4">
      <c r="A184" s="45">
        <v>7</v>
      </c>
      <c r="B184" s="48" t="s">
        <v>165</v>
      </c>
      <c r="C184" s="280"/>
      <c r="D184" s="32">
        <v>3131</v>
      </c>
      <c r="E184" s="283"/>
      <c r="F184" s="228"/>
      <c r="G184" s="138">
        <v>1900000</v>
      </c>
      <c r="H184" s="44">
        <f>1859423-1859423</f>
        <v>0</v>
      </c>
      <c r="I184" s="46"/>
      <c r="J184" s="46">
        <f t="shared" si="47"/>
        <v>0</v>
      </c>
      <c r="K184" s="46"/>
      <c r="L184" s="233">
        <f t="shared" si="39"/>
        <v>0</v>
      </c>
      <c r="M184" s="130">
        <v>1900000</v>
      </c>
      <c r="N184" s="46"/>
      <c r="O184" s="42">
        <f t="shared" si="49"/>
        <v>1900000</v>
      </c>
      <c r="P184" s="56"/>
      <c r="Q184" s="3">
        <f t="shared" si="48"/>
        <v>1900000</v>
      </c>
    </row>
    <row r="185" spans="1:18" ht="38.25" customHeight="1" x14ac:dyDescent="0.4">
      <c r="A185" s="277"/>
      <c r="B185" s="277"/>
      <c r="C185" s="277"/>
      <c r="D185" s="277"/>
      <c r="E185" s="277"/>
      <c r="F185" s="277"/>
      <c r="G185" s="277"/>
      <c r="H185" s="277"/>
      <c r="I185" s="277"/>
      <c r="J185" s="277"/>
      <c r="K185" s="277"/>
      <c r="L185" s="277"/>
      <c r="M185" s="277"/>
      <c r="N185" s="233"/>
      <c r="O185" s="233"/>
      <c r="Q185" s="3"/>
    </row>
    <row r="186" spans="1:18" ht="42" customHeight="1" x14ac:dyDescent="0.4">
      <c r="A186" s="57">
        <v>6015</v>
      </c>
      <c r="B186" s="233"/>
      <c r="C186" s="233"/>
      <c r="D186" s="233"/>
      <c r="E186" s="57">
        <v>6015</v>
      </c>
      <c r="F186" s="57"/>
      <c r="G186" s="23">
        <f>G187</f>
        <v>15417439</v>
      </c>
      <c r="H186" s="233">
        <f t="shared" ref="H186:O186" si="50">H187</f>
        <v>15417439</v>
      </c>
      <c r="I186" s="233">
        <f t="shared" si="50"/>
        <v>0</v>
      </c>
      <c r="J186" s="233">
        <f t="shared" si="50"/>
        <v>15417439</v>
      </c>
      <c r="K186" s="233">
        <f t="shared" si="50"/>
        <v>0</v>
      </c>
      <c r="L186" s="233">
        <f>K186/G186*100</f>
        <v>0</v>
      </c>
      <c r="M186" s="23">
        <f t="shared" si="50"/>
        <v>0</v>
      </c>
      <c r="N186" s="233">
        <f t="shared" si="50"/>
        <v>0</v>
      </c>
      <c r="O186" s="233">
        <f t="shared" si="50"/>
        <v>0</v>
      </c>
      <c r="Q186" s="3">
        <f t="shared" ref="Q186:Q227" si="51">G186-J186-I186</f>
        <v>0</v>
      </c>
    </row>
    <row r="187" spans="1:18" ht="82.5" customHeight="1" x14ac:dyDescent="0.4">
      <c r="A187" s="58">
        <v>6015</v>
      </c>
      <c r="B187" s="43" t="s">
        <v>166</v>
      </c>
      <c r="C187" s="14" t="s">
        <v>15</v>
      </c>
      <c r="D187" s="120"/>
      <c r="E187" s="14" t="s">
        <v>167</v>
      </c>
      <c r="F187" s="14"/>
      <c r="G187" s="125">
        <f>SUM(G188:G206)</f>
        <v>15417439</v>
      </c>
      <c r="H187" s="126">
        <f>SUM(H188:H200)</f>
        <v>15417439</v>
      </c>
      <c r="I187" s="126">
        <f>SUM(I188:I206)</f>
        <v>0</v>
      </c>
      <c r="J187" s="126">
        <f>SUM(J188:J206)</f>
        <v>15417439</v>
      </c>
      <c r="K187" s="126">
        <f>SUM(K188:K206)</f>
        <v>0</v>
      </c>
      <c r="L187" s="233">
        <f t="shared" ref="L187:L200" si="52">K187/G187*100</f>
        <v>0</v>
      </c>
      <c r="M187" s="125">
        <f>SUM(M188:M206)</f>
        <v>0</v>
      </c>
      <c r="N187" s="126">
        <f>SUM(N188:N206)</f>
        <v>0</v>
      </c>
      <c r="O187" s="126">
        <f>SUM(O188:O206)</f>
        <v>0</v>
      </c>
      <c r="Q187" s="3">
        <f t="shared" si="51"/>
        <v>0</v>
      </c>
    </row>
    <row r="188" spans="1:18" ht="46.5" customHeight="1" x14ac:dyDescent="0.4">
      <c r="A188" s="45">
        <v>1</v>
      </c>
      <c r="B188" s="59" t="s">
        <v>168</v>
      </c>
      <c r="C188" s="278" t="s">
        <v>15</v>
      </c>
      <c r="D188" s="32">
        <v>3131</v>
      </c>
      <c r="E188" s="281" t="s">
        <v>169</v>
      </c>
      <c r="F188" s="224"/>
      <c r="G188" s="117">
        <v>370016</v>
      </c>
      <c r="H188" s="35">
        <v>370016</v>
      </c>
      <c r="I188" s="35"/>
      <c r="J188" s="35">
        <f>H188-I188</f>
        <v>370016</v>
      </c>
      <c r="K188" s="148"/>
      <c r="L188" s="233">
        <f t="shared" si="52"/>
        <v>0</v>
      </c>
      <c r="M188" s="130"/>
      <c r="N188" s="35"/>
      <c r="O188" s="42">
        <f t="shared" ref="O188:O200" si="53">M188-N188</f>
        <v>0</v>
      </c>
      <c r="Q188" s="3">
        <f t="shared" si="51"/>
        <v>0</v>
      </c>
    </row>
    <row r="189" spans="1:18" ht="46.5" customHeight="1" x14ac:dyDescent="0.4">
      <c r="A189" s="45">
        <v>2</v>
      </c>
      <c r="B189" s="59" t="s">
        <v>170</v>
      </c>
      <c r="C189" s="279"/>
      <c r="D189" s="32">
        <v>3131</v>
      </c>
      <c r="E189" s="282"/>
      <c r="F189" s="225"/>
      <c r="G189" s="117">
        <v>599573</v>
      </c>
      <c r="H189" s="35">
        <v>599573</v>
      </c>
      <c r="I189" s="35"/>
      <c r="J189" s="35">
        <f t="shared" ref="J189:J200" si="54">H189-I189</f>
        <v>599573</v>
      </c>
      <c r="K189" s="148"/>
      <c r="L189" s="233">
        <f t="shared" si="52"/>
        <v>0</v>
      </c>
      <c r="M189" s="130"/>
      <c r="N189" s="35"/>
      <c r="O189" s="42">
        <f t="shared" si="53"/>
        <v>0</v>
      </c>
      <c r="Q189" s="3">
        <f t="shared" si="51"/>
        <v>0</v>
      </c>
    </row>
    <row r="190" spans="1:18" ht="46.5" customHeight="1" x14ac:dyDescent="0.4">
      <c r="A190" s="45">
        <v>3</v>
      </c>
      <c r="B190" s="59" t="s">
        <v>171</v>
      </c>
      <c r="C190" s="279"/>
      <c r="D190" s="32">
        <v>3131</v>
      </c>
      <c r="E190" s="282"/>
      <c r="F190" s="225"/>
      <c r="G190" s="117">
        <v>2223000</v>
      </c>
      <c r="H190" s="35">
        <v>2223000</v>
      </c>
      <c r="I190" s="35"/>
      <c r="J190" s="35">
        <f t="shared" si="54"/>
        <v>2223000</v>
      </c>
      <c r="K190" s="148"/>
      <c r="L190" s="233">
        <f t="shared" si="52"/>
        <v>0</v>
      </c>
      <c r="M190" s="130"/>
      <c r="N190" s="35"/>
      <c r="O190" s="42">
        <f t="shared" si="53"/>
        <v>0</v>
      </c>
      <c r="Q190" s="3">
        <f t="shared" si="51"/>
        <v>0</v>
      </c>
    </row>
    <row r="191" spans="1:18" ht="46.5" customHeight="1" x14ac:dyDescent="0.4">
      <c r="A191" s="45">
        <v>4</v>
      </c>
      <c r="B191" s="59" t="s">
        <v>172</v>
      </c>
      <c r="C191" s="279"/>
      <c r="D191" s="32">
        <v>3131</v>
      </c>
      <c r="E191" s="282"/>
      <c r="F191" s="225"/>
      <c r="G191" s="117">
        <v>1250650</v>
      </c>
      <c r="H191" s="35">
        <v>1250650</v>
      </c>
      <c r="I191" s="35"/>
      <c r="J191" s="35">
        <f t="shared" si="54"/>
        <v>1250650</v>
      </c>
      <c r="K191" s="148"/>
      <c r="L191" s="233">
        <f t="shared" si="52"/>
        <v>0</v>
      </c>
      <c r="M191" s="130"/>
      <c r="N191" s="35"/>
      <c r="O191" s="42">
        <f t="shared" si="53"/>
        <v>0</v>
      </c>
      <c r="Q191" s="3">
        <f t="shared" si="51"/>
        <v>0</v>
      </c>
    </row>
    <row r="192" spans="1:18" ht="46.5" customHeight="1" x14ac:dyDescent="0.4">
      <c r="A192" s="45">
        <v>5</v>
      </c>
      <c r="B192" s="47" t="s">
        <v>173</v>
      </c>
      <c r="C192" s="279"/>
      <c r="D192" s="32">
        <v>3131</v>
      </c>
      <c r="E192" s="282"/>
      <c r="F192" s="239"/>
      <c r="G192" s="149">
        <v>1200000</v>
      </c>
      <c r="H192" s="150">
        <v>1200000</v>
      </c>
      <c r="I192" s="35"/>
      <c r="J192" s="35">
        <f t="shared" si="54"/>
        <v>1200000</v>
      </c>
      <c r="K192" s="148"/>
      <c r="L192" s="233">
        <f t="shared" si="52"/>
        <v>0</v>
      </c>
      <c r="M192" s="130"/>
      <c r="N192" s="35"/>
      <c r="O192" s="42">
        <f t="shared" si="53"/>
        <v>0</v>
      </c>
      <c r="Q192" s="3">
        <f t="shared" si="51"/>
        <v>0</v>
      </c>
    </row>
    <row r="193" spans="1:17" ht="46.5" customHeight="1" x14ac:dyDescent="0.4">
      <c r="A193" s="45">
        <v>6</v>
      </c>
      <c r="B193" s="47" t="s">
        <v>174</v>
      </c>
      <c r="C193" s="279"/>
      <c r="D193" s="32">
        <v>3131</v>
      </c>
      <c r="E193" s="282"/>
      <c r="F193" s="239"/>
      <c r="G193" s="149">
        <v>1200000</v>
      </c>
      <c r="H193" s="150">
        <v>1200000</v>
      </c>
      <c r="I193" s="35"/>
      <c r="J193" s="35">
        <f t="shared" si="54"/>
        <v>1200000</v>
      </c>
      <c r="K193" s="148"/>
      <c r="L193" s="233">
        <f t="shared" si="52"/>
        <v>0</v>
      </c>
      <c r="M193" s="130"/>
      <c r="N193" s="35"/>
      <c r="O193" s="42">
        <f t="shared" si="53"/>
        <v>0</v>
      </c>
      <c r="Q193" s="3">
        <f t="shared" si="51"/>
        <v>0</v>
      </c>
    </row>
    <row r="194" spans="1:17" ht="46.5" customHeight="1" x14ac:dyDescent="0.4">
      <c r="A194" s="45">
        <v>7</v>
      </c>
      <c r="B194" s="47" t="s">
        <v>175</v>
      </c>
      <c r="C194" s="279"/>
      <c r="D194" s="32">
        <v>3131</v>
      </c>
      <c r="E194" s="282"/>
      <c r="F194" s="239"/>
      <c r="G194" s="149">
        <v>2300000</v>
      </c>
      <c r="H194" s="150">
        <v>2300000</v>
      </c>
      <c r="I194" s="35"/>
      <c r="J194" s="35">
        <f t="shared" si="54"/>
        <v>2300000</v>
      </c>
      <c r="K194" s="148"/>
      <c r="L194" s="233">
        <f t="shared" si="52"/>
        <v>0</v>
      </c>
      <c r="M194" s="130"/>
      <c r="N194" s="35"/>
      <c r="O194" s="42">
        <f t="shared" si="53"/>
        <v>0</v>
      </c>
      <c r="Q194" s="3">
        <f t="shared" si="51"/>
        <v>0</v>
      </c>
    </row>
    <row r="195" spans="1:17" ht="46.5" customHeight="1" x14ac:dyDescent="0.4">
      <c r="A195" s="45">
        <v>8</v>
      </c>
      <c r="B195" s="47" t="s">
        <v>176</v>
      </c>
      <c r="C195" s="279"/>
      <c r="D195" s="32">
        <v>3131</v>
      </c>
      <c r="E195" s="282"/>
      <c r="F195" s="239"/>
      <c r="G195" s="149">
        <v>1631500</v>
      </c>
      <c r="H195" s="150">
        <v>1631500</v>
      </c>
      <c r="I195" s="35"/>
      <c r="J195" s="35">
        <f t="shared" si="54"/>
        <v>1631500</v>
      </c>
      <c r="K195" s="148"/>
      <c r="L195" s="233">
        <f t="shared" si="52"/>
        <v>0</v>
      </c>
      <c r="M195" s="130"/>
      <c r="N195" s="35"/>
      <c r="O195" s="42">
        <f t="shared" si="53"/>
        <v>0</v>
      </c>
      <c r="Q195" s="3">
        <f t="shared" si="51"/>
        <v>0</v>
      </c>
    </row>
    <row r="196" spans="1:17" ht="46.5" customHeight="1" x14ac:dyDescent="0.4">
      <c r="A196" s="45">
        <v>9</v>
      </c>
      <c r="B196" s="47" t="s">
        <v>177</v>
      </c>
      <c r="C196" s="279"/>
      <c r="D196" s="32">
        <v>3131</v>
      </c>
      <c r="E196" s="282"/>
      <c r="F196" s="239"/>
      <c r="G196" s="149">
        <v>529000</v>
      </c>
      <c r="H196" s="150">
        <v>529000</v>
      </c>
      <c r="I196" s="35"/>
      <c r="J196" s="35">
        <f t="shared" si="54"/>
        <v>529000</v>
      </c>
      <c r="K196" s="148"/>
      <c r="L196" s="233">
        <f t="shared" si="52"/>
        <v>0</v>
      </c>
      <c r="M196" s="130"/>
      <c r="N196" s="35"/>
      <c r="O196" s="42">
        <f t="shared" si="53"/>
        <v>0</v>
      </c>
      <c r="Q196" s="3">
        <f t="shared" si="51"/>
        <v>0</v>
      </c>
    </row>
    <row r="197" spans="1:17" ht="46.5" customHeight="1" x14ac:dyDescent="0.4">
      <c r="A197" s="45">
        <v>10</v>
      </c>
      <c r="B197" s="47" t="s">
        <v>178</v>
      </c>
      <c r="C197" s="279"/>
      <c r="D197" s="32">
        <v>3131</v>
      </c>
      <c r="E197" s="282"/>
      <c r="F197" s="239"/>
      <c r="G197" s="149">
        <v>842200</v>
      </c>
      <c r="H197" s="150">
        <v>842200</v>
      </c>
      <c r="I197" s="35"/>
      <c r="J197" s="35">
        <f t="shared" si="54"/>
        <v>842200</v>
      </c>
      <c r="K197" s="148"/>
      <c r="L197" s="233">
        <f t="shared" si="52"/>
        <v>0</v>
      </c>
      <c r="M197" s="130"/>
      <c r="N197" s="35"/>
      <c r="O197" s="42">
        <f t="shared" si="53"/>
        <v>0</v>
      </c>
      <c r="Q197" s="3">
        <f t="shared" si="51"/>
        <v>0</v>
      </c>
    </row>
    <row r="198" spans="1:17" ht="46.5" customHeight="1" x14ac:dyDescent="0.4">
      <c r="A198" s="45">
        <v>11</v>
      </c>
      <c r="B198" s="47" t="s">
        <v>179</v>
      </c>
      <c r="C198" s="279"/>
      <c r="D198" s="32">
        <v>3131</v>
      </c>
      <c r="E198" s="282"/>
      <c r="F198" s="239"/>
      <c r="G198" s="149">
        <v>328400</v>
      </c>
      <c r="H198" s="150">
        <v>328400</v>
      </c>
      <c r="I198" s="35"/>
      <c r="J198" s="35">
        <f t="shared" si="54"/>
        <v>328400</v>
      </c>
      <c r="K198" s="148"/>
      <c r="L198" s="233">
        <f t="shared" si="52"/>
        <v>0</v>
      </c>
      <c r="M198" s="130"/>
      <c r="N198" s="35"/>
      <c r="O198" s="42">
        <f t="shared" si="53"/>
        <v>0</v>
      </c>
      <c r="Q198" s="3">
        <f t="shared" si="51"/>
        <v>0</v>
      </c>
    </row>
    <row r="199" spans="1:17" ht="46.5" customHeight="1" x14ac:dyDescent="0.4">
      <c r="A199" s="45">
        <v>12</v>
      </c>
      <c r="B199" s="47" t="s">
        <v>180</v>
      </c>
      <c r="C199" s="279"/>
      <c r="D199" s="32">
        <v>3131</v>
      </c>
      <c r="E199" s="282"/>
      <c r="F199" s="239"/>
      <c r="G199" s="149">
        <v>511100</v>
      </c>
      <c r="H199" s="150">
        <v>511100</v>
      </c>
      <c r="I199" s="35"/>
      <c r="J199" s="35">
        <f t="shared" si="54"/>
        <v>511100</v>
      </c>
      <c r="K199" s="148"/>
      <c r="L199" s="233">
        <f t="shared" si="52"/>
        <v>0</v>
      </c>
      <c r="M199" s="130"/>
      <c r="N199" s="35"/>
      <c r="O199" s="42">
        <f t="shared" si="53"/>
        <v>0</v>
      </c>
      <c r="Q199" s="3">
        <f t="shared" si="51"/>
        <v>0</v>
      </c>
    </row>
    <row r="200" spans="1:17" ht="42.6" customHeight="1" x14ac:dyDescent="0.4">
      <c r="A200" s="45">
        <v>13</v>
      </c>
      <c r="B200" s="47" t="s">
        <v>181</v>
      </c>
      <c r="C200" s="280"/>
      <c r="D200" s="32">
        <v>3131</v>
      </c>
      <c r="E200" s="283"/>
      <c r="F200" s="239"/>
      <c r="G200" s="149">
        <v>2432000</v>
      </c>
      <c r="H200" s="150">
        <v>2432000</v>
      </c>
      <c r="I200" s="35"/>
      <c r="J200" s="35">
        <f t="shared" si="54"/>
        <v>2432000</v>
      </c>
      <c r="K200" s="148"/>
      <c r="L200" s="233">
        <f t="shared" si="52"/>
        <v>0</v>
      </c>
      <c r="M200" s="130"/>
      <c r="N200" s="35"/>
      <c r="O200" s="42">
        <f t="shared" si="53"/>
        <v>0</v>
      </c>
      <c r="Q200" s="3">
        <f t="shared" si="51"/>
        <v>0</v>
      </c>
    </row>
    <row r="201" spans="1:17" s="62" customFormat="1" ht="40.5" hidden="1" customHeight="1" x14ac:dyDescent="0.4">
      <c r="A201" s="60">
        <v>6016</v>
      </c>
      <c r="B201" s="151"/>
      <c r="C201" s="151"/>
      <c r="D201" s="151"/>
      <c r="E201" s="60">
        <v>6016</v>
      </c>
      <c r="F201" s="60"/>
      <c r="G201" s="151">
        <f>G202</f>
        <v>0</v>
      </c>
      <c r="H201" s="151">
        <f t="shared" ref="H201:M201" si="55">H202</f>
        <v>1185000</v>
      </c>
      <c r="I201" s="151">
        <f t="shared" si="55"/>
        <v>0</v>
      </c>
      <c r="J201" s="151">
        <f t="shared" si="55"/>
        <v>0</v>
      </c>
      <c r="K201" s="151">
        <f t="shared" si="55"/>
        <v>0</v>
      </c>
      <c r="L201" s="151"/>
      <c r="M201" s="151">
        <f t="shared" si="55"/>
        <v>0</v>
      </c>
      <c r="N201" s="151">
        <f>N202</f>
        <v>0</v>
      </c>
      <c r="O201" s="151">
        <f>O202</f>
        <v>0</v>
      </c>
      <c r="P201" s="61"/>
      <c r="Q201" s="3">
        <f t="shared" si="51"/>
        <v>0</v>
      </c>
    </row>
    <row r="202" spans="1:17" s="62" customFormat="1" ht="42" hidden="1" customHeight="1" x14ac:dyDescent="0.4">
      <c r="A202" s="58">
        <v>6016</v>
      </c>
      <c r="B202" s="43" t="s">
        <v>182</v>
      </c>
      <c r="C202" s="14" t="s">
        <v>15</v>
      </c>
      <c r="D202" s="120" t="s">
        <v>183</v>
      </c>
      <c r="E202" s="43" t="s">
        <v>182</v>
      </c>
      <c r="F202" s="43"/>
      <c r="G202" s="126">
        <f t="shared" ref="G202:M202" si="56">SUM(G203:G203)</f>
        <v>0</v>
      </c>
      <c r="H202" s="126">
        <f t="shared" si="56"/>
        <v>1185000</v>
      </c>
      <c r="I202" s="126">
        <f t="shared" si="56"/>
        <v>0</v>
      </c>
      <c r="J202" s="126">
        <f t="shared" si="56"/>
        <v>0</v>
      </c>
      <c r="K202" s="126">
        <f t="shared" si="56"/>
        <v>0</v>
      </c>
      <c r="L202" s="126"/>
      <c r="M202" s="126">
        <f t="shared" si="56"/>
        <v>0</v>
      </c>
      <c r="N202" s="126">
        <f>SUM(N203:N203)</f>
        <v>0</v>
      </c>
      <c r="O202" s="126">
        <f>SUM(O203:O203)</f>
        <v>0</v>
      </c>
      <c r="P202" s="61">
        <v>1</v>
      </c>
      <c r="Q202" s="3">
        <f t="shared" si="51"/>
        <v>0</v>
      </c>
    </row>
    <row r="203" spans="1:17" s="62" customFormat="1" ht="43.5" hidden="1" customHeight="1" x14ac:dyDescent="0.4">
      <c r="A203" s="63"/>
      <c r="B203" s="64"/>
      <c r="C203" s="31" t="s">
        <v>15</v>
      </c>
      <c r="D203" s="32">
        <v>3131</v>
      </c>
      <c r="E203" s="31" t="s">
        <v>184</v>
      </c>
      <c r="F203" s="31"/>
      <c r="G203" s="65"/>
      <c r="H203" s="63">
        <v>1185000</v>
      </c>
      <c r="I203" s="26"/>
      <c r="J203" s="26"/>
      <c r="K203" s="26"/>
      <c r="L203" s="26"/>
      <c r="M203" s="26">
        <f t="shared" ref="M203" si="57">J203-K203</f>
        <v>0</v>
      </c>
      <c r="N203" s="26"/>
      <c r="O203" s="42">
        <f>M203-N203</f>
        <v>0</v>
      </c>
      <c r="P203" s="61"/>
      <c r="Q203" s="3">
        <f t="shared" si="51"/>
        <v>0</v>
      </c>
    </row>
    <row r="204" spans="1:17" s="62" customFormat="1" ht="34.5" hidden="1" customHeight="1" x14ac:dyDescent="0.4">
      <c r="A204" s="277"/>
      <c r="B204" s="277"/>
      <c r="C204" s="277"/>
      <c r="D204" s="277"/>
      <c r="E204" s="277"/>
      <c r="F204" s="277"/>
      <c r="G204" s="277"/>
      <c r="H204" s="277"/>
      <c r="I204" s="277"/>
      <c r="J204" s="277"/>
      <c r="K204" s="277"/>
      <c r="L204" s="277"/>
      <c r="M204" s="277"/>
      <c r="N204" s="14"/>
      <c r="O204" s="14"/>
      <c r="P204" s="61"/>
      <c r="Q204" s="3">
        <f t="shared" si="51"/>
        <v>0</v>
      </c>
    </row>
    <row r="205" spans="1:17" s="62" customFormat="1" ht="42" hidden="1" customHeight="1" x14ac:dyDescent="0.4">
      <c r="A205" s="233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14"/>
      <c r="O205" s="14"/>
      <c r="P205" s="61"/>
      <c r="Q205" s="3">
        <f t="shared" si="51"/>
        <v>0</v>
      </c>
    </row>
    <row r="206" spans="1:17" s="62" customFormat="1" ht="42" hidden="1" customHeight="1" x14ac:dyDescent="0.4">
      <c r="A206" s="233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14"/>
      <c r="O206" s="14"/>
      <c r="P206" s="61"/>
      <c r="Q206" s="3">
        <f t="shared" si="51"/>
        <v>0</v>
      </c>
    </row>
    <row r="207" spans="1:17" s="62" customFormat="1" ht="75.599999999999994" hidden="1" customHeight="1" x14ac:dyDescent="0.4">
      <c r="A207" s="66">
        <v>6020</v>
      </c>
      <c r="B207" s="233"/>
      <c r="C207" s="233"/>
      <c r="D207" s="233"/>
      <c r="E207" s="66">
        <v>6020</v>
      </c>
      <c r="F207" s="66"/>
      <c r="G207" s="233">
        <f>G208</f>
        <v>0</v>
      </c>
      <c r="H207" s="233">
        <f t="shared" ref="H207:O207" si="58">H208</f>
        <v>0</v>
      </c>
      <c r="I207" s="233">
        <f t="shared" si="58"/>
        <v>0</v>
      </c>
      <c r="J207" s="233">
        <f t="shared" si="58"/>
        <v>0</v>
      </c>
      <c r="K207" s="233">
        <f t="shared" si="58"/>
        <v>0</v>
      </c>
      <c r="L207" s="233"/>
      <c r="M207" s="233">
        <f t="shared" si="58"/>
        <v>0</v>
      </c>
      <c r="N207" s="233">
        <f t="shared" si="58"/>
        <v>0</v>
      </c>
      <c r="O207" s="233">
        <f t="shared" si="58"/>
        <v>0</v>
      </c>
      <c r="P207" s="61"/>
      <c r="Q207" s="3">
        <f t="shared" si="51"/>
        <v>0</v>
      </c>
    </row>
    <row r="208" spans="1:17" s="62" customFormat="1" ht="87" hidden="1" customHeight="1" x14ac:dyDescent="0.4">
      <c r="A208" s="58">
        <v>6020</v>
      </c>
      <c r="B208" s="43" t="s">
        <v>185</v>
      </c>
      <c r="C208" s="14" t="s">
        <v>186</v>
      </c>
      <c r="D208" s="120"/>
      <c r="E208" s="43"/>
      <c r="F208" s="43"/>
      <c r="G208" s="126">
        <f t="shared" ref="G208:O208" si="59">SUM(G209:G209)</f>
        <v>0</v>
      </c>
      <c r="H208" s="126">
        <f t="shared" si="59"/>
        <v>0</v>
      </c>
      <c r="I208" s="126">
        <f t="shared" si="59"/>
        <v>0</v>
      </c>
      <c r="J208" s="126">
        <f t="shared" si="59"/>
        <v>0</v>
      </c>
      <c r="K208" s="126">
        <f t="shared" si="59"/>
        <v>0</v>
      </c>
      <c r="L208" s="126"/>
      <c r="M208" s="126">
        <f t="shared" si="59"/>
        <v>0</v>
      </c>
      <c r="N208" s="126">
        <f t="shared" si="59"/>
        <v>0</v>
      </c>
      <c r="O208" s="126">
        <f t="shared" si="59"/>
        <v>0</v>
      </c>
      <c r="P208" s="61"/>
      <c r="Q208" s="3">
        <f t="shared" si="51"/>
        <v>0</v>
      </c>
    </row>
    <row r="209" spans="1:19" s="62" customFormat="1" ht="51" hidden="1" customHeight="1" x14ac:dyDescent="0.4">
      <c r="A209" s="67">
        <v>1</v>
      </c>
      <c r="B209" s="152"/>
      <c r="C209" s="68"/>
      <c r="D209" s="32">
        <v>3210</v>
      </c>
      <c r="E209" s="31" t="s">
        <v>187</v>
      </c>
      <c r="F209" s="240"/>
      <c r="G209" s="54"/>
      <c r="H209" s="153"/>
      <c r="I209" s="153"/>
      <c r="J209" s="153"/>
      <c r="K209" s="153"/>
      <c r="L209" s="153"/>
      <c r="M209" s="153">
        <f t="shared" ref="M209" si="60">J209-K209</f>
        <v>0</v>
      </c>
      <c r="N209" s="153"/>
      <c r="O209" s="154">
        <f>M209-N209</f>
        <v>0</v>
      </c>
      <c r="P209" s="61"/>
      <c r="Q209" s="3">
        <f t="shared" si="51"/>
        <v>0</v>
      </c>
    </row>
    <row r="210" spans="1:19" s="20" customFormat="1" ht="42" customHeight="1" x14ac:dyDescent="0.4">
      <c r="A210" s="69"/>
      <c r="B210" s="70"/>
      <c r="C210" s="294" t="s">
        <v>188</v>
      </c>
      <c r="D210" s="295"/>
      <c r="E210" s="155" t="s">
        <v>189</v>
      </c>
      <c r="F210" s="155"/>
      <c r="G210" s="156">
        <f>SUM(G222+G214+G211)</f>
        <v>129605039</v>
      </c>
      <c r="H210" s="157">
        <f t="shared" ref="H210:N210" si="61">SUM(H222+H214+H211)</f>
        <v>89801945</v>
      </c>
      <c r="I210" s="157">
        <f>SUM(I222+I214+I211)</f>
        <v>55775671.509999998</v>
      </c>
      <c r="J210" s="157">
        <f>SUM(J222+J214+J211)</f>
        <v>44107523.581374854</v>
      </c>
      <c r="K210" s="157">
        <f t="shared" si="61"/>
        <v>55775671.510000005</v>
      </c>
      <c r="L210" s="157">
        <f>K210/G210*100</f>
        <v>43.035110316968463</v>
      </c>
      <c r="M210" s="156">
        <f>SUM(M222+M214+M211)</f>
        <v>34803094</v>
      </c>
      <c r="N210" s="157">
        <f t="shared" si="61"/>
        <v>5000000</v>
      </c>
      <c r="O210" s="71"/>
      <c r="P210" s="72"/>
      <c r="Q210" s="3">
        <f t="shared" si="51"/>
        <v>29721843.908625148</v>
      </c>
    </row>
    <row r="211" spans="1:19" ht="126.75" customHeight="1" x14ac:dyDescent="0.4">
      <c r="A211" s="73"/>
      <c r="B211" s="74"/>
      <c r="C211" s="158"/>
      <c r="D211" s="159">
        <v>6011</v>
      </c>
      <c r="E211" s="158"/>
      <c r="F211" s="158"/>
      <c r="G211" s="160">
        <f>SUM(G212:G213)</f>
        <v>114187600</v>
      </c>
      <c r="H211" s="161">
        <f t="shared" ref="H211:N211" si="62">SUM(H212:H213)</f>
        <v>74384506</v>
      </c>
      <c r="I211" s="161">
        <f t="shared" si="62"/>
        <v>55775671.509999998</v>
      </c>
      <c r="J211" s="161">
        <f t="shared" si="62"/>
        <v>28690084.581374858</v>
      </c>
      <c r="K211" s="161">
        <f t="shared" si="62"/>
        <v>55775671.510000005</v>
      </c>
      <c r="L211" s="161"/>
      <c r="M211" s="160">
        <f t="shared" si="62"/>
        <v>34803094</v>
      </c>
      <c r="N211" s="161">
        <f t="shared" si="62"/>
        <v>5000000</v>
      </c>
      <c r="O211" s="75"/>
      <c r="Q211" s="3">
        <f t="shared" si="51"/>
        <v>29721843.908625148</v>
      </c>
      <c r="S211" s="13"/>
    </row>
    <row r="212" spans="1:19" ht="94.5" customHeight="1" x14ac:dyDescent="0.4">
      <c r="A212" s="73"/>
      <c r="B212" s="74"/>
      <c r="C212" s="158" t="s">
        <v>190</v>
      </c>
      <c r="D212" s="162">
        <v>3131</v>
      </c>
      <c r="E212" s="163" t="s">
        <v>191</v>
      </c>
      <c r="F212" s="163"/>
      <c r="G212" s="164">
        <f>SUM(G42)</f>
        <v>109187600</v>
      </c>
      <c r="H212" s="129">
        <f>SUM(H42)</f>
        <v>74384506</v>
      </c>
      <c r="I212" s="129">
        <f>SUM(I42)</f>
        <v>55775671.509999998</v>
      </c>
      <c r="J212" s="129">
        <f>SUM(J42)</f>
        <v>28690084.581374858</v>
      </c>
      <c r="K212" s="129">
        <f>SUM(K42)</f>
        <v>55775671.510000005</v>
      </c>
      <c r="L212" s="129"/>
      <c r="M212" s="164">
        <f>SUM(M42)</f>
        <v>29803094</v>
      </c>
      <c r="N212" s="129">
        <f>SUM(N42)</f>
        <v>5000000</v>
      </c>
      <c r="O212" s="75"/>
      <c r="Q212" s="3">
        <f t="shared" si="51"/>
        <v>24721843.908625148</v>
      </c>
    </row>
    <row r="213" spans="1:19" ht="121.5" customHeight="1" x14ac:dyDescent="0.4">
      <c r="A213" s="73"/>
      <c r="B213" s="74"/>
      <c r="C213" s="158" t="s">
        <v>192</v>
      </c>
      <c r="D213" s="162">
        <v>3132</v>
      </c>
      <c r="E213" s="163" t="s">
        <v>191</v>
      </c>
      <c r="F213" s="163"/>
      <c r="G213" s="164">
        <f>G18</f>
        <v>5000000</v>
      </c>
      <c r="H213" s="129">
        <f>H18</f>
        <v>0</v>
      </c>
      <c r="I213" s="129">
        <f>I18</f>
        <v>0</v>
      </c>
      <c r="J213" s="129">
        <f>J18</f>
        <v>0</v>
      </c>
      <c r="K213" s="129">
        <f>K18</f>
        <v>0</v>
      </c>
      <c r="L213" s="129"/>
      <c r="M213" s="164">
        <f>M18</f>
        <v>5000000</v>
      </c>
      <c r="N213" s="129">
        <f>N18</f>
        <v>0</v>
      </c>
      <c r="O213" s="75"/>
      <c r="P213" s="76"/>
      <c r="Q213" s="3">
        <f t="shared" si="51"/>
        <v>5000000</v>
      </c>
    </row>
    <row r="214" spans="1:19" s="82" customFormat="1" ht="114" customHeight="1" x14ac:dyDescent="0.4">
      <c r="A214" s="77"/>
      <c r="B214" s="78"/>
      <c r="C214" s="158"/>
      <c r="D214" s="159">
        <v>6015</v>
      </c>
      <c r="E214" s="165"/>
      <c r="F214" s="165"/>
      <c r="G214" s="160">
        <f>SUM(G215)</f>
        <v>15417439</v>
      </c>
      <c r="H214" s="161">
        <f t="shared" ref="H214:N214" si="63">SUM(H215)</f>
        <v>15417439</v>
      </c>
      <c r="I214" s="161">
        <f t="shared" si="63"/>
        <v>0</v>
      </c>
      <c r="J214" s="161">
        <f t="shared" si="63"/>
        <v>15417439</v>
      </c>
      <c r="K214" s="161">
        <f t="shared" si="63"/>
        <v>0</v>
      </c>
      <c r="L214" s="161"/>
      <c r="M214" s="160">
        <f t="shared" si="63"/>
        <v>0</v>
      </c>
      <c r="N214" s="161">
        <f t="shared" si="63"/>
        <v>0</v>
      </c>
      <c r="O214" s="79"/>
      <c r="P214" s="80"/>
      <c r="Q214" s="3">
        <f t="shared" si="51"/>
        <v>0</v>
      </c>
      <c r="R214" s="81"/>
    </row>
    <row r="215" spans="1:19" s="20" customFormat="1" ht="87.75" customHeight="1" x14ac:dyDescent="0.4">
      <c r="A215" s="73"/>
      <c r="B215" s="83"/>
      <c r="C215" s="158" t="s">
        <v>190</v>
      </c>
      <c r="D215" s="162">
        <v>3131</v>
      </c>
      <c r="E215" s="163" t="s">
        <v>191</v>
      </c>
      <c r="F215" s="163"/>
      <c r="G215" s="164">
        <f>SUM(G186)</f>
        <v>15417439</v>
      </c>
      <c r="H215" s="129">
        <f>SUM(H186)</f>
        <v>15417439</v>
      </c>
      <c r="I215" s="129">
        <f>SUM(I186)</f>
        <v>0</v>
      </c>
      <c r="J215" s="129">
        <f>SUM(J186)</f>
        <v>15417439</v>
      </c>
      <c r="K215" s="129">
        <f>SUM(K186)</f>
        <v>0</v>
      </c>
      <c r="L215" s="129"/>
      <c r="M215" s="164">
        <f>SUM(M186)</f>
        <v>0</v>
      </c>
      <c r="N215" s="129">
        <f>SUM(N186)</f>
        <v>0</v>
      </c>
      <c r="O215" s="84"/>
      <c r="P215" s="76"/>
      <c r="Q215" s="3">
        <f t="shared" si="51"/>
        <v>0</v>
      </c>
    </row>
    <row r="216" spans="1:19" ht="74.25" hidden="1" customHeight="1" x14ac:dyDescent="0.4">
      <c r="A216" s="73"/>
      <c r="B216" s="74"/>
      <c r="C216" s="166"/>
      <c r="D216" s="159"/>
      <c r="E216" s="165" t="s">
        <v>191</v>
      </c>
      <c r="F216" s="165"/>
      <c r="G216" s="160">
        <f>SUM(G211+G214)</f>
        <v>129605039</v>
      </c>
      <c r="H216" s="161">
        <f t="shared" ref="H216:N216" si="64">SUM(H211+H214)</f>
        <v>89801945</v>
      </c>
      <c r="I216" s="161">
        <f t="shared" si="64"/>
        <v>55775671.509999998</v>
      </c>
      <c r="J216" s="161">
        <f t="shared" si="64"/>
        <v>44107523.581374854</v>
      </c>
      <c r="K216" s="161">
        <f t="shared" si="64"/>
        <v>55775671.510000005</v>
      </c>
      <c r="L216" s="161"/>
      <c r="M216" s="160">
        <f t="shared" si="64"/>
        <v>34803094</v>
      </c>
      <c r="N216" s="161">
        <f t="shared" si="64"/>
        <v>5000000</v>
      </c>
      <c r="O216" s="75"/>
      <c r="Q216" s="3">
        <f t="shared" si="51"/>
        <v>29721843.908625148</v>
      </c>
    </row>
    <row r="217" spans="1:19" ht="26.25" customHeight="1" x14ac:dyDescent="0.4">
      <c r="A217" s="73"/>
      <c r="B217" s="74"/>
      <c r="D217" s="1"/>
      <c r="G217" s="167"/>
      <c r="M217" s="168"/>
      <c r="O217" s="4"/>
      <c r="Q217" s="3">
        <f t="shared" si="51"/>
        <v>0</v>
      </c>
    </row>
    <row r="218" spans="1:19" ht="83.25" hidden="1" customHeight="1" x14ac:dyDescent="0.4">
      <c r="A218" s="73"/>
      <c r="B218" s="83"/>
      <c r="C218" s="158"/>
      <c r="D218" s="159">
        <v>6015</v>
      </c>
      <c r="E218" s="158"/>
      <c r="F218" s="158"/>
      <c r="G218" s="160">
        <f t="shared" ref="G218:M218" si="65">G219</f>
        <v>15417439</v>
      </c>
      <c r="H218" s="161">
        <f t="shared" si="65"/>
        <v>15417439</v>
      </c>
      <c r="I218" s="161">
        <f t="shared" si="65"/>
        <v>0</v>
      </c>
      <c r="J218" s="161">
        <f t="shared" si="65"/>
        <v>15417439</v>
      </c>
      <c r="K218" s="161">
        <f t="shared" si="65"/>
        <v>0</v>
      </c>
      <c r="L218" s="161"/>
      <c r="M218" s="160">
        <f t="shared" si="65"/>
        <v>0</v>
      </c>
      <c r="N218" s="129">
        <f>N185</f>
        <v>0</v>
      </c>
      <c r="O218" s="75"/>
      <c r="Q218" s="3">
        <f t="shared" si="51"/>
        <v>0</v>
      </c>
    </row>
    <row r="219" spans="1:19" ht="52.5" hidden="1" customHeight="1" x14ac:dyDescent="0.4">
      <c r="A219" s="73"/>
      <c r="B219" s="83"/>
      <c r="C219" s="158" t="s">
        <v>193</v>
      </c>
      <c r="D219" s="162">
        <v>3131</v>
      </c>
      <c r="E219" s="158"/>
      <c r="F219" s="158"/>
      <c r="G219" s="164">
        <f>G186</f>
        <v>15417439</v>
      </c>
      <c r="H219" s="129">
        <f>H186</f>
        <v>15417439</v>
      </c>
      <c r="I219" s="129">
        <f>I186</f>
        <v>0</v>
      </c>
      <c r="J219" s="129">
        <f>J186</f>
        <v>15417439</v>
      </c>
      <c r="K219" s="129">
        <f>K186</f>
        <v>0</v>
      </c>
      <c r="L219" s="129"/>
      <c r="M219" s="164">
        <f>M186</f>
        <v>0</v>
      </c>
      <c r="N219" s="161">
        <f t="shared" ref="I219:N220" si="66">N220</f>
        <v>0</v>
      </c>
      <c r="O219" s="4"/>
      <c r="Q219" s="3">
        <f t="shared" si="51"/>
        <v>0</v>
      </c>
    </row>
    <row r="220" spans="1:19" ht="81" hidden="1" customHeight="1" x14ac:dyDescent="0.4">
      <c r="A220" s="73"/>
      <c r="B220" s="74"/>
      <c r="C220" s="158"/>
      <c r="D220" s="159">
        <v>6016</v>
      </c>
      <c r="E220" s="158"/>
      <c r="F220" s="158"/>
      <c r="G220" s="160">
        <f>G221</f>
        <v>0</v>
      </c>
      <c r="H220" s="161">
        <f>H221</f>
        <v>1185000</v>
      </c>
      <c r="I220" s="161">
        <f t="shared" si="66"/>
        <v>0</v>
      </c>
      <c r="J220" s="161">
        <f t="shared" si="66"/>
        <v>0</v>
      </c>
      <c r="K220" s="161">
        <f t="shared" si="66"/>
        <v>0</v>
      </c>
      <c r="L220" s="161"/>
      <c r="M220" s="160">
        <f t="shared" si="66"/>
        <v>0</v>
      </c>
      <c r="N220" s="129">
        <f>N201</f>
        <v>0</v>
      </c>
      <c r="O220" s="4"/>
      <c r="Q220" s="3">
        <f t="shared" si="51"/>
        <v>0</v>
      </c>
    </row>
    <row r="221" spans="1:19" ht="51" hidden="1" customHeight="1" x14ac:dyDescent="0.4">
      <c r="A221" s="73"/>
      <c r="B221" s="74"/>
      <c r="C221" s="158" t="s">
        <v>194</v>
      </c>
      <c r="D221" s="162">
        <v>3131</v>
      </c>
      <c r="E221" s="158"/>
      <c r="F221" s="158"/>
      <c r="G221" s="164">
        <f t="shared" ref="G221:M221" si="67">G201</f>
        <v>0</v>
      </c>
      <c r="H221" s="129">
        <f t="shared" si="67"/>
        <v>1185000</v>
      </c>
      <c r="I221" s="129">
        <f t="shared" si="67"/>
        <v>0</v>
      </c>
      <c r="J221" s="129">
        <f t="shared" si="67"/>
        <v>0</v>
      </c>
      <c r="K221" s="129">
        <f t="shared" si="67"/>
        <v>0</v>
      </c>
      <c r="L221" s="129"/>
      <c r="M221" s="164">
        <f t="shared" si="67"/>
        <v>0</v>
      </c>
      <c r="N221" s="161">
        <f t="shared" ref="N221" si="68">N222</f>
        <v>0</v>
      </c>
      <c r="O221" s="4"/>
      <c r="Q221" s="3">
        <f t="shared" si="51"/>
        <v>0</v>
      </c>
    </row>
    <row r="222" spans="1:19" ht="51" customHeight="1" x14ac:dyDescent="0.4">
      <c r="A222" s="73"/>
      <c r="B222" s="74"/>
      <c r="C222" s="158"/>
      <c r="D222" s="159">
        <v>6020</v>
      </c>
      <c r="E222" s="158"/>
      <c r="F222" s="158"/>
      <c r="G222" s="160">
        <f t="shared" ref="G222:M222" si="69">G223</f>
        <v>0</v>
      </c>
      <c r="H222" s="161">
        <f t="shared" si="69"/>
        <v>0</v>
      </c>
      <c r="I222" s="161">
        <f t="shared" si="69"/>
        <v>0</v>
      </c>
      <c r="J222" s="161">
        <f t="shared" si="69"/>
        <v>0</v>
      </c>
      <c r="K222" s="161">
        <f t="shared" si="69"/>
        <v>0</v>
      </c>
      <c r="L222" s="161"/>
      <c r="M222" s="160">
        <f t="shared" si="69"/>
        <v>0</v>
      </c>
      <c r="N222" s="161">
        <f>SUM(N207)</f>
        <v>0</v>
      </c>
      <c r="O222" s="4"/>
      <c r="Q222" s="3">
        <f t="shared" si="51"/>
        <v>0</v>
      </c>
    </row>
    <row r="223" spans="1:19" ht="66" customHeight="1" x14ac:dyDescent="0.4">
      <c r="A223" s="73"/>
      <c r="B223" s="74"/>
      <c r="C223" s="158" t="s">
        <v>195</v>
      </c>
      <c r="D223" s="162">
        <v>3210</v>
      </c>
      <c r="E223" s="158"/>
      <c r="F223" s="158"/>
      <c r="G223" s="164">
        <f t="shared" ref="G223:M223" si="70">SUM(G207)</f>
        <v>0</v>
      </c>
      <c r="H223" s="129">
        <f t="shared" si="70"/>
        <v>0</v>
      </c>
      <c r="I223" s="129">
        <f t="shared" si="70"/>
        <v>0</v>
      </c>
      <c r="J223" s="129">
        <f t="shared" si="70"/>
        <v>0</v>
      </c>
      <c r="K223" s="129">
        <f t="shared" si="70"/>
        <v>0</v>
      </c>
      <c r="L223" s="129"/>
      <c r="M223" s="164">
        <f t="shared" si="70"/>
        <v>0</v>
      </c>
      <c r="N223" s="161">
        <f>N208</f>
        <v>0</v>
      </c>
      <c r="O223" s="4"/>
      <c r="Q223" s="3">
        <f t="shared" si="51"/>
        <v>0</v>
      </c>
    </row>
    <row r="224" spans="1:19" ht="5.25" hidden="1" customHeight="1" x14ac:dyDescent="0.4">
      <c r="A224" s="73"/>
      <c r="B224" s="85" t="s">
        <v>196</v>
      </c>
      <c r="C224" s="296" t="s">
        <v>197</v>
      </c>
      <c r="D224" s="297"/>
      <c r="E224" s="298"/>
      <c r="F224" s="234"/>
      <c r="G224" s="160">
        <f t="shared" ref="G224:M224" si="71">G211+G218+G220+G222</f>
        <v>129605039</v>
      </c>
      <c r="H224" s="161">
        <f t="shared" si="71"/>
        <v>90986945</v>
      </c>
      <c r="I224" s="161">
        <f t="shared" si="71"/>
        <v>55775671.509999998</v>
      </c>
      <c r="J224" s="161">
        <f t="shared" si="71"/>
        <v>44107523.581374854</v>
      </c>
      <c r="K224" s="161">
        <f t="shared" si="71"/>
        <v>55775671.510000005</v>
      </c>
      <c r="L224" s="161"/>
      <c r="M224" s="160">
        <f t="shared" si="71"/>
        <v>34803094</v>
      </c>
      <c r="Q224" s="3">
        <f t="shared" si="51"/>
        <v>29721843.908625148</v>
      </c>
    </row>
    <row r="225" spans="1:17" s="86" customFormat="1" ht="35.25" customHeight="1" x14ac:dyDescent="0.4">
      <c r="D225" s="87"/>
      <c r="E225" s="88"/>
      <c r="F225" s="88"/>
      <c r="G225" s="169"/>
      <c r="H225" s="89"/>
      <c r="I225" s="89"/>
      <c r="J225" s="89"/>
      <c r="K225" s="89"/>
      <c r="L225" s="89"/>
      <c r="M225" s="170"/>
      <c r="N225" s="89"/>
      <c r="P225" s="90"/>
      <c r="Q225" s="3">
        <f t="shared" si="51"/>
        <v>0</v>
      </c>
    </row>
    <row r="226" spans="1:17" s="20" customFormat="1" ht="38.25" customHeight="1" x14ac:dyDescent="0.45">
      <c r="A226" s="179"/>
      <c r="B226" s="179" t="s">
        <v>254</v>
      </c>
      <c r="C226" s="179" t="s">
        <v>198</v>
      </c>
      <c r="D226" s="181"/>
      <c r="E226" s="179"/>
      <c r="F226" s="179"/>
      <c r="G226" s="188">
        <f>SUM(G210+G225)</f>
        <v>129605039</v>
      </c>
      <c r="H226" s="182">
        <f t="shared" ref="H226:I226" si="72">SUM(H210+H225)</f>
        <v>89801945</v>
      </c>
      <c r="I226" s="182">
        <f t="shared" si="72"/>
        <v>55775671.509999998</v>
      </c>
      <c r="J226" s="182">
        <f>SUM(J210+J225)</f>
        <v>44107523.581374854</v>
      </c>
      <c r="K226" s="182">
        <f>SUM(K210+K225)</f>
        <v>55775671.510000005</v>
      </c>
      <c r="L226" s="182"/>
      <c r="M226" s="188">
        <f>SUM(M210+M225)</f>
        <v>34803094</v>
      </c>
      <c r="N226" s="182">
        <f>SUM(N210+N225)</f>
        <v>5000000</v>
      </c>
      <c r="P226" s="72"/>
      <c r="Q226" s="19">
        <f t="shared" si="51"/>
        <v>29721843.908625148</v>
      </c>
    </row>
    <row r="227" spans="1:17" s="20" customFormat="1" ht="48.75" customHeight="1" x14ac:dyDescent="0.4">
      <c r="B227" s="192" t="s">
        <v>255</v>
      </c>
      <c r="C227" s="186">
        <v>2610</v>
      </c>
      <c r="D227" s="91">
        <v>6011</v>
      </c>
      <c r="E227" s="189" t="s">
        <v>199</v>
      </c>
      <c r="F227" s="189"/>
      <c r="G227" s="171">
        <v>3790705</v>
      </c>
      <c r="M227" s="20">
        <f>J227-K227</f>
        <v>0</v>
      </c>
      <c r="P227" s="72"/>
      <c r="Q227" s="19">
        <f t="shared" si="51"/>
        <v>3790705</v>
      </c>
    </row>
    <row r="228" spans="1:17" s="20" customFormat="1" ht="63" customHeight="1" x14ac:dyDescent="0.4">
      <c r="A228" s="190"/>
      <c r="B228" s="187" t="s">
        <v>251</v>
      </c>
      <c r="C228" s="101" t="s">
        <v>212</v>
      </c>
      <c r="D228" s="17"/>
      <c r="E228" s="190"/>
      <c r="F228" s="190"/>
      <c r="G228" s="191">
        <f>'ОСВІТА, СОЦЗАХ'!G58</f>
        <v>143912853</v>
      </c>
      <c r="H228" s="191">
        <f>'ОСВІТА, СОЦЗАХ'!H58</f>
        <v>96541508</v>
      </c>
      <c r="I228" s="191">
        <f>'ОСВІТА, СОЦЗАХ'!I58</f>
        <v>31749130.82</v>
      </c>
      <c r="J228" s="191">
        <f>'ОСВІТА, СОЦЗАХ'!J58</f>
        <v>3970442.62</v>
      </c>
      <c r="K228" s="191">
        <f>'ОСВІТА, СОЦЗАХ'!K58</f>
        <v>30388836</v>
      </c>
      <c r="L228" s="191"/>
      <c r="M228" s="191">
        <f>'ОСВІТА, СОЦЗАХ'!M58</f>
        <v>47371345</v>
      </c>
      <c r="N228" s="191">
        <f>'ОСВІТА, СОЦЗАХ'!N58</f>
        <v>0</v>
      </c>
      <c r="P228" s="72"/>
    </row>
    <row r="229" spans="1:17" s="20" customFormat="1" ht="47.4" customHeight="1" x14ac:dyDescent="0.45">
      <c r="A229" s="179"/>
      <c r="B229" s="180" t="s">
        <v>256</v>
      </c>
      <c r="C229" s="101" t="s">
        <v>212</v>
      </c>
      <c r="D229" s="181"/>
      <c r="E229" s="179"/>
      <c r="F229" s="179"/>
      <c r="G229" s="185">
        <f>G226+G228</f>
        <v>273517892</v>
      </c>
      <c r="H229" s="193">
        <f t="shared" ref="H229:N229" si="73">H226+H228</f>
        <v>186343453</v>
      </c>
      <c r="I229" s="185">
        <f t="shared" si="73"/>
        <v>87524802.329999998</v>
      </c>
      <c r="J229" s="185">
        <f t="shared" si="73"/>
        <v>48077966.201374851</v>
      </c>
      <c r="K229" s="185">
        <f t="shared" si="73"/>
        <v>86164507.510000005</v>
      </c>
      <c r="L229" s="185"/>
      <c r="M229" s="185">
        <f t="shared" si="73"/>
        <v>82174439</v>
      </c>
      <c r="N229" s="185">
        <f t="shared" si="73"/>
        <v>5000000</v>
      </c>
      <c r="P229" s="72"/>
    </row>
  </sheetData>
  <mergeCells count="32">
    <mergeCell ref="A2:N2"/>
    <mergeCell ref="A4:A6"/>
    <mergeCell ref="B4:B6"/>
    <mergeCell ref="C4:C6"/>
    <mergeCell ref="D4:D6"/>
    <mergeCell ref="E4:E6"/>
    <mergeCell ref="G4:G6"/>
    <mergeCell ref="H4:N4"/>
    <mergeCell ref="H5:K5"/>
    <mergeCell ref="C210:D210"/>
    <mergeCell ref="C224:E224"/>
    <mergeCell ref="C88:C89"/>
    <mergeCell ref="E88:E89"/>
    <mergeCell ref="C91:C175"/>
    <mergeCell ref="E91:E154"/>
    <mergeCell ref="C178:C184"/>
    <mergeCell ref="E178:E184"/>
    <mergeCell ref="E156:E176"/>
    <mergeCell ref="A8:A14"/>
    <mergeCell ref="A185:M185"/>
    <mergeCell ref="C188:C200"/>
    <mergeCell ref="E188:E200"/>
    <mergeCell ref="A204:M204"/>
    <mergeCell ref="C21:C23"/>
    <mergeCell ref="E21:E23"/>
    <mergeCell ref="A29:E29"/>
    <mergeCell ref="C53:C70"/>
    <mergeCell ref="E53:E70"/>
    <mergeCell ref="C72:C86"/>
    <mergeCell ref="E72:E86"/>
    <mergeCell ref="F156:F176"/>
    <mergeCell ref="B8:B14"/>
  </mergeCells>
  <dataValidations count="1">
    <dataValidation type="textLength" allowBlank="1" showInputMessage="1" showErrorMessage="1" promptTitle="обов'язкове" prompt="обов'язкове" sqref="B48">
      <formula1>1</formula1>
      <formula2>200000</formula2>
    </dataValidation>
  </dataValidations>
  <pageMargins left="0.11811023622047245" right="0.11811023622047245" top="0.19685039370078741" bottom="0.15748031496062992" header="0.31496062992125984" footer="0.31496062992125984"/>
  <pageSetup paperSize="9" scale="44" fitToHeight="0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view="pageBreakPreview" topLeftCell="A57" zoomScale="60" zoomScaleNormal="50" workbookViewId="0">
      <selection activeCell="B59" sqref="B59:L60"/>
    </sheetView>
  </sheetViews>
  <sheetFormatPr defaultColWidth="9.109375" defaultRowHeight="5.7" customHeight="1" x14ac:dyDescent="0.4"/>
  <cols>
    <col min="1" max="1" width="19.88671875" style="1" customWidth="1"/>
    <col min="2" max="2" width="75.33203125" style="1" customWidth="1"/>
    <col min="3" max="3" width="32.33203125" style="1" hidden="1" customWidth="1"/>
    <col min="4" max="4" width="15" style="2" hidden="1" customWidth="1"/>
    <col min="5" max="5" width="47.88671875" style="1" customWidth="1"/>
    <col min="6" max="6" width="16.109375" style="1" customWidth="1"/>
    <col min="7" max="7" width="32.44140625" style="4" customWidth="1"/>
    <col min="8" max="8" width="0.109375" style="1" customWidth="1"/>
    <col min="9" max="9" width="28.33203125" style="1" customWidth="1"/>
    <col min="10" max="10" width="0.109375" style="1" customWidth="1"/>
    <col min="11" max="12" width="26.6640625" style="1" customWidth="1"/>
    <col min="13" max="13" width="0.109375" style="1" customWidth="1"/>
    <col min="14" max="14" width="28.88671875" style="1" hidden="1" customWidth="1"/>
    <col min="15" max="15" width="12.33203125" style="5" hidden="1" customWidth="1"/>
    <col min="16" max="16" width="23.88671875" style="1" hidden="1" customWidth="1"/>
    <col min="17" max="17" width="35.44140625" style="1" customWidth="1"/>
    <col min="18" max="18" width="124.33203125" style="1" customWidth="1"/>
    <col min="19" max="16384" width="9.109375" style="1"/>
  </cols>
  <sheetData>
    <row r="1" spans="1:18" ht="22.8" x14ac:dyDescent="0.4">
      <c r="E1" s="3"/>
      <c r="F1" s="3"/>
      <c r="G1" s="3"/>
      <c r="H1" s="4"/>
      <c r="J1" s="3"/>
      <c r="K1" s="3"/>
      <c r="L1" s="3"/>
      <c r="O1" s="1"/>
      <c r="P1" s="5"/>
    </row>
    <row r="2" spans="1:18" ht="144" customHeight="1" x14ac:dyDescent="0.4">
      <c r="A2" s="299" t="s">
        <v>265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8" s="10" customFormat="1" ht="31.8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</row>
    <row r="4" spans="1:18" ht="27" hidden="1" customHeight="1" x14ac:dyDescent="0.4">
      <c r="A4" s="329" t="s">
        <v>0</v>
      </c>
      <c r="B4" s="313" t="s">
        <v>1</v>
      </c>
      <c r="C4" s="307" t="s">
        <v>2</v>
      </c>
      <c r="D4" s="310" t="s">
        <v>3</v>
      </c>
      <c r="E4" s="313" t="s">
        <v>4</v>
      </c>
      <c r="F4" s="313" t="s">
        <v>263</v>
      </c>
      <c r="G4" s="316" t="s">
        <v>253</v>
      </c>
      <c r="H4" s="322" t="s">
        <v>248</v>
      </c>
      <c r="I4" s="323"/>
      <c r="J4" s="323"/>
      <c r="K4" s="323"/>
      <c r="L4" s="323"/>
      <c r="M4" s="323"/>
      <c r="N4" s="324"/>
      <c r="P4" s="12" t="s">
        <v>6</v>
      </c>
      <c r="R4" s="13"/>
    </row>
    <row r="5" spans="1:18" ht="78.599999999999994" hidden="1" customHeight="1" thickBot="1" x14ac:dyDescent="0.45">
      <c r="A5" s="330"/>
      <c r="B5" s="314"/>
      <c r="C5" s="308"/>
      <c r="D5" s="311"/>
      <c r="E5" s="314"/>
      <c r="F5" s="314"/>
      <c r="G5" s="317"/>
      <c r="H5" s="319" t="s">
        <v>249</v>
      </c>
      <c r="I5" s="320"/>
      <c r="J5" s="320"/>
      <c r="K5" s="321"/>
      <c r="L5" s="236"/>
      <c r="M5" s="105" t="s">
        <v>7</v>
      </c>
      <c r="N5" s="11"/>
      <c r="P5" s="12"/>
      <c r="R5" s="13"/>
    </row>
    <row r="6" spans="1:18" ht="147.75" customHeight="1" x14ac:dyDescent="0.4">
      <c r="A6" s="331"/>
      <c r="B6" s="315"/>
      <c r="C6" s="309"/>
      <c r="D6" s="312"/>
      <c r="E6" s="315"/>
      <c r="F6" s="315"/>
      <c r="G6" s="318"/>
      <c r="H6" s="206" t="s">
        <v>9</v>
      </c>
      <c r="I6" s="99" t="s">
        <v>10</v>
      </c>
      <c r="J6" s="94"/>
      <c r="K6" s="94" t="s">
        <v>250</v>
      </c>
      <c r="L6" s="99" t="s">
        <v>262</v>
      </c>
      <c r="M6" s="207" t="s">
        <v>9</v>
      </c>
      <c r="N6" s="11"/>
      <c r="P6" s="12"/>
      <c r="R6" s="13"/>
    </row>
    <row r="7" spans="1:18" s="202" customFormat="1" ht="147.75" customHeight="1" x14ac:dyDescent="0.4">
      <c r="A7" s="195"/>
      <c r="B7" s="196" t="s">
        <v>257</v>
      </c>
      <c r="C7" s="197"/>
      <c r="D7" s="198"/>
      <c r="E7" s="196"/>
      <c r="F7" s="273"/>
      <c r="G7" s="204">
        <f>G13+G36</f>
        <v>141733786</v>
      </c>
      <c r="H7" s="199">
        <f t="shared" ref="H7:M7" si="0">H13+H36</f>
        <v>94362441</v>
      </c>
      <c r="I7" s="199">
        <f t="shared" si="0"/>
        <v>30811557.82</v>
      </c>
      <c r="J7" s="199">
        <f t="shared" si="0"/>
        <v>3940370.62</v>
      </c>
      <c r="K7" s="199">
        <f t="shared" si="0"/>
        <v>29451263</v>
      </c>
      <c r="L7" s="199">
        <f>K7/G7*100</f>
        <v>20.779281941992291</v>
      </c>
      <c r="M7" s="204">
        <f t="shared" si="0"/>
        <v>47371345</v>
      </c>
      <c r="N7" s="205"/>
      <c r="O7" s="200"/>
      <c r="P7" s="201"/>
      <c r="R7" s="203"/>
    </row>
    <row r="8" spans="1:18" s="202" customFormat="1" ht="147.75" customHeight="1" x14ac:dyDescent="0.4">
      <c r="A8" s="195"/>
      <c r="B8" s="196"/>
      <c r="C8" s="197"/>
      <c r="D8" s="198"/>
      <c r="E8" s="241" t="s">
        <v>211</v>
      </c>
      <c r="F8" s="273">
        <v>12</v>
      </c>
      <c r="G8" s="204">
        <f>G14+G16+G18+G21+G22+G24+G29+G35+G40+G44+G50+G51+G19</f>
        <v>26533000</v>
      </c>
      <c r="H8" s="204">
        <f t="shared" ref="H8:K8" si="1">H14+H16+H18+H21+H22+H24+H29+H35+H40+H44+H50+H51+H19</f>
        <v>26533000</v>
      </c>
      <c r="I8" s="204">
        <f t="shared" si="1"/>
        <v>7521576.120000001</v>
      </c>
      <c r="J8" s="204">
        <f t="shared" si="1"/>
        <v>0</v>
      </c>
      <c r="K8" s="204">
        <f t="shared" si="1"/>
        <v>7520862.0999999996</v>
      </c>
      <c r="L8" s="199">
        <f t="shared" ref="L8:L12" si="2">K8/G8*100</f>
        <v>28.345313760223117</v>
      </c>
      <c r="M8" s="204"/>
      <c r="N8" s="205"/>
      <c r="O8" s="200"/>
      <c r="P8" s="201"/>
      <c r="Q8" s="242">
        <f>G8+G9+G10+G11+G12</f>
        <v>141733786</v>
      </c>
      <c r="R8" s="243">
        <f>G7-Q8</f>
        <v>0</v>
      </c>
    </row>
    <row r="9" spans="1:18" s="202" customFormat="1" ht="147.75" customHeight="1" x14ac:dyDescent="0.4">
      <c r="A9" s="195"/>
      <c r="B9" s="196"/>
      <c r="C9" s="197"/>
      <c r="D9" s="198"/>
      <c r="E9" s="96" t="s">
        <v>214</v>
      </c>
      <c r="F9" s="273">
        <v>10</v>
      </c>
      <c r="G9" s="204">
        <f>G15+G20+G23+G26+G27+G28+G32+G33+G39+G41</f>
        <v>22123000</v>
      </c>
      <c r="H9" s="204">
        <f t="shared" ref="H9:K9" si="3">H15+H20+H23+H26+H27+H28+H32+H33+H39+H41</f>
        <v>22123000</v>
      </c>
      <c r="I9" s="204">
        <f t="shared" si="3"/>
        <v>12650603.279999999</v>
      </c>
      <c r="J9" s="204">
        <f t="shared" si="3"/>
        <v>0</v>
      </c>
      <c r="K9" s="204">
        <f t="shared" si="3"/>
        <v>12650603.279999999</v>
      </c>
      <c r="L9" s="199">
        <f t="shared" si="2"/>
        <v>57.183037020295615</v>
      </c>
      <c r="M9" s="204"/>
      <c r="N9" s="205"/>
      <c r="O9" s="200"/>
      <c r="P9" s="201"/>
      <c r="Q9" s="242">
        <f>G7-Q8</f>
        <v>0</v>
      </c>
      <c r="R9" s="203"/>
    </row>
    <row r="10" spans="1:18" s="202" customFormat="1" ht="147.75" customHeight="1" x14ac:dyDescent="0.4">
      <c r="A10" s="195"/>
      <c r="B10" s="196"/>
      <c r="C10" s="197"/>
      <c r="D10" s="198"/>
      <c r="E10" s="96" t="s">
        <v>204</v>
      </c>
      <c r="F10" s="273">
        <v>13</v>
      </c>
      <c r="G10" s="204">
        <f>G17+G25+G30+G34+G37+G38+G42+G43+G45+G47+G48+G49+G52</f>
        <v>33444000</v>
      </c>
      <c r="H10" s="204">
        <f t="shared" ref="H10:K10" si="4">H17+H25+H30+H34+H37+H38+H42+H43+H45+H47+H48+H49+H52</f>
        <v>26002833</v>
      </c>
      <c r="I10" s="204">
        <f t="shared" si="4"/>
        <v>10639378.42</v>
      </c>
      <c r="J10" s="204">
        <f t="shared" si="4"/>
        <v>3940370.62</v>
      </c>
      <c r="K10" s="204">
        <f t="shared" si="4"/>
        <v>9279797.6199999992</v>
      </c>
      <c r="L10" s="199">
        <f>K10/G10*100</f>
        <v>27.747271917234777</v>
      </c>
      <c r="M10" s="204"/>
      <c r="N10" s="205"/>
      <c r="O10" s="200"/>
      <c r="P10" s="201"/>
      <c r="R10" s="203"/>
    </row>
    <row r="11" spans="1:18" s="202" customFormat="1" ht="147.75" customHeight="1" x14ac:dyDescent="0.4">
      <c r="A11" s="195"/>
      <c r="B11" s="196"/>
      <c r="C11" s="197"/>
      <c r="D11" s="198"/>
      <c r="E11" s="96" t="s">
        <v>203</v>
      </c>
      <c r="F11" s="273">
        <v>1</v>
      </c>
      <c r="G11" s="204">
        <f>31:31</f>
        <v>58133786</v>
      </c>
      <c r="H11" s="204">
        <f t="shared" ref="H11:K11" si="5">31:31</f>
        <v>18203608</v>
      </c>
      <c r="I11" s="204">
        <f t="shared" si="5"/>
        <v>0</v>
      </c>
      <c r="J11" s="204">
        <f t="shared" si="5"/>
        <v>0</v>
      </c>
      <c r="K11" s="204">
        <f t="shared" si="5"/>
        <v>0</v>
      </c>
      <c r="L11" s="199">
        <f>K11/G11*100</f>
        <v>0</v>
      </c>
      <c r="M11" s="204"/>
      <c r="N11" s="205"/>
      <c r="O11" s="200"/>
      <c r="P11" s="201"/>
      <c r="R11" s="203"/>
    </row>
    <row r="12" spans="1:18" s="202" customFormat="1" ht="147.75" customHeight="1" x14ac:dyDescent="0.4">
      <c r="A12" s="195"/>
      <c r="B12" s="196"/>
      <c r="C12" s="197"/>
      <c r="D12" s="198"/>
      <c r="E12" s="96" t="s">
        <v>236</v>
      </c>
      <c r="F12" s="273">
        <v>1</v>
      </c>
      <c r="G12" s="204">
        <f>G46</f>
        <v>1500000</v>
      </c>
      <c r="H12" s="204">
        <f t="shared" ref="H12:K12" si="6">H46</f>
        <v>1500000</v>
      </c>
      <c r="I12" s="204">
        <f t="shared" si="6"/>
        <v>0</v>
      </c>
      <c r="J12" s="204">
        <f t="shared" si="6"/>
        <v>0</v>
      </c>
      <c r="K12" s="204">
        <f t="shared" si="6"/>
        <v>0</v>
      </c>
      <c r="L12" s="199">
        <f t="shared" si="2"/>
        <v>0</v>
      </c>
      <c r="M12" s="204"/>
      <c r="N12" s="205"/>
      <c r="O12" s="200"/>
      <c r="P12" s="201"/>
      <c r="R12" s="203"/>
    </row>
    <row r="13" spans="1:18" ht="59.25" customHeight="1" x14ac:dyDescent="0.4">
      <c r="A13" s="95">
        <v>1010</v>
      </c>
      <c r="B13" s="96" t="s">
        <v>202</v>
      </c>
      <c r="C13" s="97"/>
      <c r="D13" s="98"/>
      <c r="E13" s="96"/>
      <c r="F13" s="96"/>
      <c r="G13" s="172">
        <f>H13+M13</f>
        <v>93733786</v>
      </c>
      <c r="H13" s="14">
        <f>H14+H15+H16+H17+H18+H19+H20+H21+H22+H23+H24+H25+H26+H27+H28+H29+H30+H31+H32+H33+H34+H35</f>
        <v>53803608</v>
      </c>
      <c r="I13" s="14">
        <f t="shared" ref="I13:M13" si="7">I14+I15+I16+I17+I18+I19+I20+I21+I22+I23+I24+I25+I26+I27+I28+I29+I30+I31+I32+I33+I34+I35</f>
        <v>16998791.990000002</v>
      </c>
      <c r="J13" s="14">
        <f t="shared" si="7"/>
        <v>0</v>
      </c>
      <c r="K13" s="14">
        <f t="shared" si="7"/>
        <v>16998077.990000002</v>
      </c>
      <c r="L13" s="199">
        <f t="shared" ref="L13:L58" si="8">K13/G13*100</f>
        <v>18.13441952510059</v>
      </c>
      <c r="M13" s="175">
        <f t="shared" si="7"/>
        <v>39930178</v>
      </c>
      <c r="N13" s="11"/>
      <c r="P13" s="12"/>
      <c r="Q13" s="3"/>
      <c r="R13" s="13"/>
    </row>
    <row r="14" spans="1:18" ht="125.25" customHeight="1" x14ac:dyDescent="0.4">
      <c r="A14" s="272">
        <v>1</v>
      </c>
      <c r="B14" s="92" t="s">
        <v>210</v>
      </c>
      <c r="C14" s="25" t="s">
        <v>212</v>
      </c>
      <c r="D14" s="93">
        <v>3132</v>
      </c>
      <c r="E14" s="92" t="s">
        <v>211</v>
      </c>
      <c r="F14" s="92"/>
      <c r="G14" s="173">
        <f>H14+M14</f>
        <v>1500000</v>
      </c>
      <c r="H14" s="40">
        <v>1500000</v>
      </c>
      <c r="I14" s="40">
        <v>17228.400000000001</v>
      </c>
      <c r="J14" s="40"/>
      <c r="K14" s="40">
        <v>17228.400000000001</v>
      </c>
      <c r="L14" s="199">
        <f t="shared" si="8"/>
        <v>1.14856</v>
      </c>
      <c r="M14" s="174"/>
      <c r="N14" s="11"/>
      <c r="P14" s="12"/>
      <c r="R14" s="13"/>
    </row>
    <row r="15" spans="1:18" ht="86.25" customHeight="1" x14ac:dyDescent="0.4">
      <c r="A15" s="327">
        <v>2</v>
      </c>
      <c r="B15" s="325" t="s">
        <v>213</v>
      </c>
      <c r="C15" s="25" t="s">
        <v>212</v>
      </c>
      <c r="D15" s="93">
        <v>3132</v>
      </c>
      <c r="E15" s="92" t="s">
        <v>214</v>
      </c>
      <c r="F15" s="92"/>
      <c r="G15" s="173">
        <f t="shared" ref="G15:G36" si="9">H15+M15</f>
        <v>2000000</v>
      </c>
      <c r="H15" s="94">
        <v>2000000</v>
      </c>
      <c r="I15" s="94">
        <v>16073.4</v>
      </c>
      <c r="J15" s="94"/>
      <c r="K15" s="94">
        <v>16073.4</v>
      </c>
      <c r="L15" s="199">
        <f t="shared" si="8"/>
        <v>0.80366999999999988</v>
      </c>
      <c r="M15" s="173"/>
      <c r="N15" s="100"/>
      <c r="P15" s="12"/>
      <c r="R15" s="13"/>
    </row>
    <row r="16" spans="1:18" ht="119.25" customHeight="1" x14ac:dyDescent="0.4">
      <c r="A16" s="328"/>
      <c r="B16" s="326"/>
      <c r="C16" s="25" t="s">
        <v>212</v>
      </c>
      <c r="D16" s="93">
        <v>3132</v>
      </c>
      <c r="E16" s="92" t="s">
        <v>211</v>
      </c>
      <c r="F16" s="92"/>
      <c r="G16" s="173">
        <f t="shared" si="9"/>
        <v>1184000</v>
      </c>
      <c r="H16" s="40">
        <v>1184000</v>
      </c>
      <c r="I16" s="40">
        <v>1104219.95</v>
      </c>
      <c r="J16" s="40"/>
      <c r="K16" s="40">
        <v>1104219.95</v>
      </c>
      <c r="L16" s="199">
        <f t="shared" si="8"/>
        <v>93.261820101351347</v>
      </c>
      <c r="M16" s="174"/>
      <c r="N16" s="11"/>
      <c r="P16" s="12"/>
      <c r="R16" s="13"/>
    </row>
    <row r="17" spans="1:18" ht="87.75" customHeight="1" x14ac:dyDescent="0.4">
      <c r="A17" s="272">
        <v>3</v>
      </c>
      <c r="B17" s="92" t="s">
        <v>205</v>
      </c>
      <c r="C17" s="25" t="s">
        <v>212</v>
      </c>
      <c r="D17" s="93">
        <v>3132</v>
      </c>
      <c r="E17" s="92" t="s">
        <v>204</v>
      </c>
      <c r="F17" s="92"/>
      <c r="G17" s="173">
        <f t="shared" si="9"/>
        <v>492000</v>
      </c>
      <c r="H17" s="40">
        <v>492000</v>
      </c>
      <c r="I17" s="40">
        <v>483337.61</v>
      </c>
      <c r="J17" s="40"/>
      <c r="K17" s="40">
        <v>483337.61</v>
      </c>
      <c r="L17" s="199">
        <f t="shared" si="8"/>
        <v>98.239351626016258</v>
      </c>
      <c r="M17" s="174"/>
      <c r="N17" s="11"/>
      <c r="P17" s="12"/>
      <c r="R17" s="13"/>
    </row>
    <row r="18" spans="1:18" ht="117.75" customHeight="1" x14ac:dyDescent="0.4">
      <c r="A18" s="272">
        <v>4</v>
      </c>
      <c r="B18" s="92" t="s">
        <v>215</v>
      </c>
      <c r="C18" s="25" t="s">
        <v>212</v>
      </c>
      <c r="D18" s="93">
        <v>3132</v>
      </c>
      <c r="E18" s="92" t="s">
        <v>211</v>
      </c>
      <c r="F18" s="92"/>
      <c r="G18" s="173">
        <f t="shared" si="9"/>
        <v>1700000</v>
      </c>
      <c r="H18" s="40">
        <v>1700000</v>
      </c>
      <c r="I18" s="40">
        <v>17942.400000000001</v>
      </c>
      <c r="J18" s="40"/>
      <c r="K18" s="40">
        <v>17228.400000000001</v>
      </c>
      <c r="L18" s="199">
        <f t="shared" si="8"/>
        <v>1.0134352941176472</v>
      </c>
      <c r="M18" s="174"/>
      <c r="N18" s="11"/>
      <c r="P18" s="12"/>
      <c r="R18" s="13"/>
    </row>
    <row r="19" spans="1:18" ht="114.75" customHeight="1" x14ac:dyDescent="0.4">
      <c r="A19" s="272">
        <v>5</v>
      </c>
      <c r="B19" s="92" t="s">
        <v>216</v>
      </c>
      <c r="C19" s="25" t="s">
        <v>212</v>
      </c>
      <c r="D19" s="93">
        <v>3132</v>
      </c>
      <c r="E19" s="92" t="s">
        <v>211</v>
      </c>
      <c r="F19" s="92"/>
      <c r="G19" s="173">
        <f t="shared" si="9"/>
        <v>907000</v>
      </c>
      <c r="H19" s="40">
        <v>907000</v>
      </c>
      <c r="I19" s="40">
        <v>906253.52</v>
      </c>
      <c r="J19" s="40"/>
      <c r="K19" s="40">
        <v>906253.52</v>
      </c>
      <c r="L19" s="199">
        <f t="shared" si="8"/>
        <v>99.917697905181925</v>
      </c>
      <c r="M19" s="174"/>
      <c r="N19" s="11"/>
      <c r="P19" s="12"/>
      <c r="R19" s="13"/>
    </row>
    <row r="20" spans="1:18" ht="86.25" customHeight="1" x14ac:dyDescent="0.4">
      <c r="A20" s="327">
        <v>6</v>
      </c>
      <c r="B20" s="325" t="s">
        <v>217</v>
      </c>
      <c r="C20" s="25" t="s">
        <v>212</v>
      </c>
      <c r="D20" s="93">
        <v>3132</v>
      </c>
      <c r="E20" s="92" t="s">
        <v>214</v>
      </c>
      <c r="F20" s="92"/>
      <c r="G20" s="173">
        <f t="shared" si="9"/>
        <v>2000000</v>
      </c>
      <c r="H20" s="40">
        <v>2000000</v>
      </c>
      <c r="I20" s="40">
        <v>344419.48</v>
      </c>
      <c r="J20" s="40"/>
      <c r="K20" s="40">
        <v>344419.48</v>
      </c>
      <c r="L20" s="199">
        <f t="shared" si="8"/>
        <v>17.220973999999998</v>
      </c>
      <c r="M20" s="174"/>
      <c r="N20" s="11"/>
      <c r="P20" s="12"/>
      <c r="R20" s="13"/>
    </row>
    <row r="21" spans="1:18" ht="122.25" customHeight="1" x14ac:dyDescent="0.4">
      <c r="A21" s="328"/>
      <c r="B21" s="326"/>
      <c r="C21" s="25" t="s">
        <v>212</v>
      </c>
      <c r="D21" s="93">
        <v>3132</v>
      </c>
      <c r="E21" s="92" t="s">
        <v>211</v>
      </c>
      <c r="F21" s="92"/>
      <c r="G21" s="173">
        <f t="shared" si="9"/>
        <v>1678000</v>
      </c>
      <c r="H21" s="40">
        <v>1678000</v>
      </c>
      <c r="I21" s="40">
        <v>1560557.21</v>
      </c>
      <c r="J21" s="40"/>
      <c r="K21" s="40">
        <v>1560557.21</v>
      </c>
      <c r="L21" s="199">
        <f t="shared" si="8"/>
        <v>93.001025625744944</v>
      </c>
      <c r="M21" s="174"/>
      <c r="N21" s="11"/>
      <c r="P21" s="12"/>
      <c r="R21" s="13"/>
    </row>
    <row r="22" spans="1:18" ht="93.75" customHeight="1" x14ac:dyDescent="0.4">
      <c r="A22" s="272">
        <v>7</v>
      </c>
      <c r="B22" s="92" t="s">
        <v>218</v>
      </c>
      <c r="C22" s="25" t="s">
        <v>212</v>
      </c>
      <c r="D22" s="93">
        <v>3132</v>
      </c>
      <c r="E22" s="92" t="s">
        <v>211</v>
      </c>
      <c r="F22" s="92"/>
      <c r="G22" s="173">
        <f t="shared" si="9"/>
        <v>1200000</v>
      </c>
      <c r="H22" s="40">
        <v>1200000</v>
      </c>
      <c r="I22" s="40"/>
      <c r="J22" s="40"/>
      <c r="K22" s="40"/>
      <c r="L22" s="199">
        <f t="shared" si="8"/>
        <v>0</v>
      </c>
      <c r="M22" s="174"/>
      <c r="N22" s="11"/>
      <c r="P22" s="12"/>
      <c r="R22" s="13"/>
    </row>
    <row r="23" spans="1:18" ht="90.75" customHeight="1" x14ac:dyDescent="0.4">
      <c r="A23" s="272">
        <v>8</v>
      </c>
      <c r="B23" s="92" t="s">
        <v>219</v>
      </c>
      <c r="C23" s="25" t="s">
        <v>212</v>
      </c>
      <c r="D23" s="93">
        <v>3132</v>
      </c>
      <c r="E23" s="92" t="s">
        <v>214</v>
      </c>
      <c r="F23" s="92"/>
      <c r="G23" s="173">
        <f t="shared" si="9"/>
        <v>1974000</v>
      </c>
      <c r="H23" s="40">
        <v>1974000</v>
      </c>
      <c r="I23" s="40">
        <v>1501225.43</v>
      </c>
      <c r="J23" s="40"/>
      <c r="K23" s="40">
        <v>1501225.43</v>
      </c>
      <c r="L23" s="199">
        <f t="shared" si="8"/>
        <v>76.049920466058765</v>
      </c>
      <c r="M23" s="174"/>
      <c r="N23" s="11"/>
      <c r="P23" s="12"/>
      <c r="R23" s="13"/>
    </row>
    <row r="24" spans="1:18" ht="99.75" customHeight="1" x14ac:dyDescent="0.4">
      <c r="A24" s="272">
        <v>9</v>
      </c>
      <c r="B24" s="92" t="s">
        <v>220</v>
      </c>
      <c r="C24" s="25" t="s">
        <v>212</v>
      </c>
      <c r="D24" s="93">
        <v>3132</v>
      </c>
      <c r="E24" s="92" t="s">
        <v>211</v>
      </c>
      <c r="F24" s="92"/>
      <c r="G24" s="173">
        <f t="shared" si="9"/>
        <v>1179000</v>
      </c>
      <c r="H24" s="40">
        <v>1179000</v>
      </c>
      <c r="I24" s="40">
        <v>1178625.23</v>
      </c>
      <c r="J24" s="40"/>
      <c r="K24" s="40">
        <v>1178625.23</v>
      </c>
      <c r="L24" s="199">
        <f t="shared" si="8"/>
        <v>99.968212892281599</v>
      </c>
      <c r="M24" s="174"/>
      <c r="N24" s="11"/>
      <c r="P24" s="12"/>
      <c r="R24" s="13"/>
    </row>
    <row r="25" spans="1:18" ht="90.75" customHeight="1" x14ac:dyDescent="0.4">
      <c r="A25" s="272">
        <v>10</v>
      </c>
      <c r="B25" s="92" t="s">
        <v>208</v>
      </c>
      <c r="C25" s="25" t="s">
        <v>212</v>
      </c>
      <c r="D25" s="93">
        <v>3132</v>
      </c>
      <c r="E25" s="92" t="s">
        <v>204</v>
      </c>
      <c r="F25" s="92"/>
      <c r="G25" s="173">
        <f t="shared" si="9"/>
        <v>1468000</v>
      </c>
      <c r="H25" s="40">
        <v>1468000</v>
      </c>
      <c r="I25" s="40">
        <v>1431690.4</v>
      </c>
      <c r="J25" s="40"/>
      <c r="K25" s="40">
        <v>1431690.4</v>
      </c>
      <c r="L25" s="199">
        <f t="shared" si="8"/>
        <v>97.526594005449581</v>
      </c>
      <c r="M25" s="174"/>
      <c r="N25" s="11"/>
      <c r="P25" s="12"/>
      <c r="R25" s="13"/>
    </row>
    <row r="26" spans="1:18" ht="92.25" customHeight="1" x14ac:dyDescent="0.4">
      <c r="A26" s="272">
        <v>11</v>
      </c>
      <c r="B26" s="92" t="s">
        <v>221</v>
      </c>
      <c r="C26" s="25" t="s">
        <v>212</v>
      </c>
      <c r="D26" s="93">
        <v>3132</v>
      </c>
      <c r="E26" s="92" t="s">
        <v>214</v>
      </c>
      <c r="F26" s="92"/>
      <c r="G26" s="173">
        <f t="shared" si="9"/>
        <v>1970000</v>
      </c>
      <c r="H26" s="40">
        <v>1970000</v>
      </c>
      <c r="I26" s="40">
        <v>1103378.24</v>
      </c>
      <c r="J26" s="40"/>
      <c r="K26" s="40">
        <v>1103378.24</v>
      </c>
      <c r="L26" s="199">
        <f t="shared" si="8"/>
        <v>56.009047715736038</v>
      </c>
      <c r="M26" s="174"/>
      <c r="N26" s="11"/>
      <c r="P26" s="12"/>
      <c r="R26" s="13"/>
    </row>
    <row r="27" spans="1:18" ht="98.25" customHeight="1" x14ac:dyDescent="0.4">
      <c r="A27" s="272">
        <v>12</v>
      </c>
      <c r="B27" s="92" t="s">
        <v>222</v>
      </c>
      <c r="C27" s="25" t="s">
        <v>212</v>
      </c>
      <c r="D27" s="93">
        <v>3132</v>
      </c>
      <c r="E27" s="92" t="s">
        <v>214</v>
      </c>
      <c r="F27" s="92"/>
      <c r="G27" s="173">
        <f t="shared" si="9"/>
        <v>1976000</v>
      </c>
      <c r="H27" s="40">
        <v>1976000</v>
      </c>
      <c r="I27" s="40">
        <v>1292124.96</v>
      </c>
      <c r="J27" s="40"/>
      <c r="K27" s="40">
        <v>1292124.96</v>
      </c>
      <c r="L27" s="199">
        <f t="shared" si="8"/>
        <v>65.39093927125505</v>
      </c>
      <c r="M27" s="174"/>
      <c r="N27" s="11"/>
      <c r="P27" s="12"/>
      <c r="R27" s="13"/>
    </row>
    <row r="28" spans="1:18" ht="92.25" customHeight="1" x14ac:dyDescent="0.4">
      <c r="A28" s="327">
        <v>13</v>
      </c>
      <c r="B28" s="325" t="s">
        <v>223</v>
      </c>
      <c r="C28" s="25" t="s">
        <v>212</v>
      </c>
      <c r="D28" s="93">
        <v>3132</v>
      </c>
      <c r="E28" s="92" t="s">
        <v>214</v>
      </c>
      <c r="F28" s="92"/>
      <c r="G28" s="173">
        <f t="shared" si="9"/>
        <v>2971000</v>
      </c>
      <c r="H28" s="40">
        <v>2971000</v>
      </c>
      <c r="I28" s="40">
        <v>2185402.12</v>
      </c>
      <c r="J28" s="40"/>
      <c r="K28" s="40">
        <v>2185402.12</v>
      </c>
      <c r="L28" s="199">
        <f t="shared" si="8"/>
        <v>73.557796028273316</v>
      </c>
      <c r="M28" s="174"/>
      <c r="N28" s="11"/>
      <c r="P28" s="12"/>
      <c r="R28" s="13"/>
    </row>
    <row r="29" spans="1:18" ht="102.75" customHeight="1" x14ac:dyDescent="0.4">
      <c r="A29" s="328"/>
      <c r="B29" s="326"/>
      <c r="C29" s="25" t="s">
        <v>212</v>
      </c>
      <c r="D29" s="93">
        <v>3132</v>
      </c>
      <c r="E29" s="92" t="s">
        <v>211</v>
      </c>
      <c r="F29" s="92"/>
      <c r="G29" s="173">
        <f t="shared" si="9"/>
        <v>1185000</v>
      </c>
      <c r="H29" s="40">
        <v>1185000</v>
      </c>
      <c r="I29" s="40">
        <v>1130746.24</v>
      </c>
      <c r="J29" s="40"/>
      <c r="K29" s="40">
        <v>1130746.24</v>
      </c>
      <c r="L29" s="199">
        <f t="shared" si="8"/>
        <v>95.421623628691989</v>
      </c>
      <c r="M29" s="174"/>
      <c r="N29" s="11"/>
      <c r="P29" s="12"/>
      <c r="R29" s="13"/>
    </row>
    <row r="30" spans="1:18" ht="95.25" customHeight="1" x14ac:dyDescent="0.4">
      <c r="A30" s="272">
        <v>14</v>
      </c>
      <c r="B30" s="92" t="s">
        <v>206</v>
      </c>
      <c r="C30" s="25" t="s">
        <v>212</v>
      </c>
      <c r="D30" s="93">
        <v>3132</v>
      </c>
      <c r="E30" s="92" t="s">
        <v>204</v>
      </c>
      <c r="F30" s="92"/>
      <c r="G30" s="173">
        <f t="shared" si="9"/>
        <v>484000</v>
      </c>
      <c r="H30" s="40">
        <v>484000</v>
      </c>
      <c r="I30" s="40">
        <v>461333.36</v>
      </c>
      <c r="J30" s="40"/>
      <c r="K30" s="40">
        <v>461333.36</v>
      </c>
      <c r="L30" s="199">
        <f t="shared" si="8"/>
        <v>95.316809917355371</v>
      </c>
      <c r="M30" s="174"/>
      <c r="N30" s="11"/>
      <c r="P30" s="12"/>
      <c r="R30" s="13"/>
    </row>
    <row r="31" spans="1:18" ht="90.75" customHeight="1" x14ac:dyDescent="0.4">
      <c r="A31" s="272">
        <v>15</v>
      </c>
      <c r="B31" s="92" t="s">
        <v>209</v>
      </c>
      <c r="C31" s="25" t="s">
        <v>212</v>
      </c>
      <c r="D31" s="93">
        <v>3132</v>
      </c>
      <c r="E31" s="92" t="s">
        <v>203</v>
      </c>
      <c r="F31" s="92"/>
      <c r="G31" s="173">
        <f t="shared" si="9"/>
        <v>58133786</v>
      </c>
      <c r="H31" s="40">
        <v>18203608</v>
      </c>
      <c r="I31" s="40"/>
      <c r="J31" s="40"/>
      <c r="K31" s="40"/>
      <c r="L31" s="199">
        <f t="shared" si="8"/>
        <v>0</v>
      </c>
      <c r="M31" s="174">
        <v>39930178</v>
      </c>
      <c r="N31" s="11"/>
      <c r="P31" s="12"/>
      <c r="R31" s="13"/>
    </row>
    <row r="32" spans="1:18" ht="89.25" customHeight="1" x14ac:dyDescent="0.4">
      <c r="A32" s="272">
        <v>16</v>
      </c>
      <c r="B32" s="92" t="s">
        <v>224</v>
      </c>
      <c r="C32" s="25" t="s">
        <v>212</v>
      </c>
      <c r="D32" s="93">
        <v>3132</v>
      </c>
      <c r="E32" s="92" t="s">
        <v>214</v>
      </c>
      <c r="F32" s="92"/>
      <c r="G32" s="173">
        <f t="shared" si="9"/>
        <v>1500000</v>
      </c>
      <c r="H32" s="40">
        <v>1500000</v>
      </c>
      <c r="I32" s="40"/>
      <c r="J32" s="40"/>
      <c r="K32" s="40"/>
      <c r="L32" s="199">
        <f t="shared" si="8"/>
        <v>0</v>
      </c>
      <c r="M32" s="174"/>
      <c r="N32" s="11"/>
      <c r="P32" s="12"/>
      <c r="R32" s="13"/>
    </row>
    <row r="33" spans="1:18" ht="93.75" customHeight="1" x14ac:dyDescent="0.4">
      <c r="A33" s="272">
        <v>17</v>
      </c>
      <c r="B33" s="92" t="s">
        <v>225</v>
      </c>
      <c r="C33" s="25" t="s">
        <v>212</v>
      </c>
      <c r="D33" s="93">
        <v>3132</v>
      </c>
      <c r="E33" s="92" t="s">
        <v>214</v>
      </c>
      <c r="F33" s="92"/>
      <c r="G33" s="173">
        <f t="shared" si="9"/>
        <v>3732000</v>
      </c>
      <c r="H33" s="40">
        <v>3732000</v>
      </c>
      <c r="I33" s="40">
        <v>2236913.04</v>
      </c>
      <c r="J33" s="40"/>
      <c r="K33" s="40">
        <v>2236913.04</v>
      </c>
      <c r="L33" s="199">
        <f t="shared" si="8"/>
        <v>59.938720257234721</v>
      </c>
      <c r="M33" s="174"/>
      <c r="N33" s="11"/>
      <c r="P33" s="12"/>
      <c r="R33" s="13"/>
    </row>
    <row r="34" spans="1:18" ht="78.75" customHeight="1" x14ac:dyDescent="0.4">
      <c r="A34" s="272">
        <v>18</v>
      </c>
      <c r="B34" s="92" t="s">
        <v>207</v>
      </c>
      <c r="C34" s="25" t="s">
        <v>212</v>
      </c>
      <c r="D34" s="93">
        <v>3132</v>
      </c>
      <c r="E34" s="92" t="s">
        <v>204</v>
      </c>
      <c r="F34" s="92"/>
      <c r="G34" s="173">
        <f t="shared" si="9"/>
        <v>2500000</v>
      </c>
      <c r="H34" s="40">
        <v>2500000</v>
      </c>
      <c r="I34" s="40">
        <v>10092.6</v>
      </c>
      <c r="J34" s="40"/>
      <c r="K34" s="40">
        <v>10092.6</v>
      </c>
      <c r="L34" s="199">
        <f t="shared" si="8"/>
        <v>0.40370400000000006</v>
      </c>
      <c r="M34" s="174"/>
      <c r="N34" s="11"/>
      <c r="P34" s="12"/>
      <c r="R34" s="13"/>
    </row>
    <row r="35" spans="1:18" ht="117.75" customHeight="1" x14ac:dyDescent="0.4">
      <c r="A35" s="272">
        <v>19</v>
      </c>
      <c r="B35" s="92" t="s">
        <v>226</v>
      </c>
      <c r="C35" s="25" t="s">
        <v>212</v>
      </c>
      <c r="D35" s="93">
        <v>3132</v>
      </c>
      <c r="E35" s="92" t="s">
        <v>211</v>
      </c>
      <c r="F35" s="92"/>
      <c r="G35" s="173">
        <f t="shared" si="9"/>
        <v>2000000</v>
      </c>
      <c r="H35" s="40">
        <v>2000000</v>
      </c>
      <c r="I35" s="40">
        <v>17228.400000000001</v>
      </c>
      <c r="J35" s="40"/>
      <c r="K35" s="40">
        <v>17228.400000000001</v>
      </c>
      <c r="L35" s="199">
        <f t="shared" si="8"/>
        <v>0.86142000000000007</v>
      </c>
      <c r="M35" s="174"/>
      <c r="N35" s="11"/>
      <c r="P35" s="12"/>
      <c r="R35" s="13"/>
    </row>
    <row r="36" spans="1:18" ht="86.25" customHeight="1" x14ac:dyDescent="0.4">
      <c r="A36" s="95">
        <v>1021</v>
      </c>
      <c r="B36" s="96" t="s">
        <v>227</v>
      </c>
      <c r="C36" s="25"/>
      <c r="D36" s="93"/>
      <c r="E36" s="96"/>
      <c r="F36" s="96"/>
      <c r="G36" s="172">
        <f t="shared" si="9"/>
        <v>48000000</v>
      </c>
      <c r="H36" s="14">
        <f>H37+H38+H39+H40+H41+H42+H43+H44+H45+H46+H47+H48+H49+H50+H51+H52</f>
        <v>40558833</v>
      </c>
      <c r="I36" s="14">
        <f t="shared" ref="I36:M36" si="10">I37+I38+I39+I40+I41+I42+I43+I44+I45+I46+I47+I48+I49+I50+I51+I52</f>
        <v>13812765.83</v>
      </c>
      <c r="J36" s="14">
        <f t="shared" si="10"/>
        <v>3940370.62</v>
      </c>
      <c r="K36" s="14">
        <f t="shared" si="10"/>
        <v>12453185.01</v>
      </c>
      <c r="L36" s="199">
        <f t="shared" si="8"/>
        <v>25.944135437499998</v>
      </c>
      <c r="M36" s="175">
        <f t="shared" si="10"/>
        <v>7441167</v>
      </c>
      <c r="N36" s="11"/>
      <c r="P36" s="12"/>
      <c r="R36" s="13"/>
    </row>
    <row r="37" spans="1:18" ht="96.75" customHeight="1" x14ac:dyDescent="0.4">
      <c r="A37" s="272">
        <v>1</v>
      </c>
      <c r="B37" s="92" t="s">
        <v>228</v>
      </c>
      <c r="C37" s="25" t="s">
        <v>212</v>
      </c>
      <c r="D37" s="93">
        <v>3132</v>
      </c>
      <c r="E37" s="92" t="s">
        <v>204</v>
      </c>
      <c r="F37" s="92"/>
      <c r="G37" s="173">
        <f>H37+M37</f>
        <v>2000000</v>
      </c>
      <c r="H37" s="40"/>
      <c r="I37" s="40"/>
      <c r="J37" s="40"/>
      <c r="K37" s="40"/>
      <c r="L37" s="199">
        <f t="shared" si="8"/>
        <v>0</v>
      </c>
      <c r="M37" s="174">
        <v>2000000</v>
      </c>
      <c r="N37" s="11"/>
      <c r="P37" s="12"/>
      <c r="R37" s="13"/>
    </row>
    <row r="38" spans="1:18" ht="71.25" customHeight="1" x14ac:dyDescent="0.4">
      <c r="A38" s="272">
        <v>2</v>
      </c>
      <c r="B38" s="92" t="s">
        <v>229</v>
      </c>
      <c r="C38" s="25" t="s">
        <v>212</v>
      </c>
      <c r="D38" s="93">
        <v>3132</v>
      </c>
      <c r="E38" s="92" t="s">
        <v>204</v>
      </c>
      <c r="F38" s="92"/>
      <c r="G38" s="173">
        <f t="shared" ref="G38:G52" si="11">H38+M38</f>
        <v>4000000</v>
      </c>
      <c r="H38" s="40"/>
      <c r="I38" s="40"/>
      <c r="J38" s="40"/>
      <c r="K38" s="40"/>
      <c r="L38" s="199">
        <f t="shared" si="8"/>
        <v>0</v>
      </c>
      <c r="M38" s="174">
        <v>4000000</v>
      </c>
      <c r="N38" s="11"/>
      <c r="P38" s="12"/>
      <c r="R38" s="13"/>
    </row>
    <row r="39" spans="1:18" ht="83.25" customHeight="1" x14ac:dyDescent="0.4">
      <c r="A39" s="327">
        <v>3</v>
      </c>
      <c r="B39" s="325" t="s">
        <v>230</v>
      </c>
      <c r="C39" s="25" t="s">
        <v>212</v>
      </c>
      <c r="D39" s="93">
        <v>3132</v>
      </c>
      <c r="E39" s="92" t="s">
        <v>214</v>
      </c>
      <c r="F39" s="92"/>
      <c r="G39" s="173">
        <f t="shared" si="11"/>
        <v>1000000</v>
      </c>
      <c r="H39" s="40">
        <v>1000000</v>
      </c>
      <c r="I39" s="40">
        <v>995980.69</v>
      </c>
      <c r="J39" s="40"/>
      <c r="K39" s="40">
        <v>995980.69</v>
      </c>
      <c r="L39" s="199">
        <f t="shared" si="8"/>
        <v>99.598068999999995</v>
      </c>
      <c r="M39" s="174"/>
      <c r="N39" s="11"/>
      <c r="P39" s="12"/>
      <c r="R39" s="13"/>
    </row>
    <row r="40" spans="1:18" ht="104.25" customHeight="1" x14ac:dyDescent="0.4">
      <c r="A40" s="328"/>
      <c r="B40" s="326"/>
      <c r="C40" s="25" t="s">
        <v>212</v>
      </c>
      <c r="D40" s="93">
        <v>3132</v>
      </c>
      <c r="E40" s="92" t="s">
        <v>211</v>
      </c>
      <c r="F40" s="92"/>
      <c r="G40" s="173">
        <f t="shared" si="11"/>
        <v>1000000</v>
      </c>
      <c r="H40" s="40">
        <v>1000000</v>
      </c>
      <c r="I40" s="40"/>
      <c r="J40" s="40"/>
      <c r="K40" s="40"/>
      <c r="L40" s="199">
        <f t="shared" si="8"/>
        <v>0</v>
      </c>
      <c r="M40" s="174"/>
      <c r="N40" s="11"/>
      <c r="P40" s="12"/>
      <c r="R40" s="13"/>
    </row>
    <row r="41" spans="1:18" ht="83.25" customHeight="1" x14ac:dyDescent="0.4">
      <c r="A41" s="272">
        <v>4</v>
      </c>
      <c r="B41" s="92" t="s">
        <v>231</v>
      </c>
      <c r="C41" s="25" t="s">
        <v>212</v>
      </c>
      <c r="D41" s="93">
        <v>3132</v>
      </c>
      <c r="E41" s="92" t="s">
        <v>214</v>
      </c>
      <c r="F41" s="92"/>
      <c r="G41" s="173">
        <f t="shared" si="11"/>
        <v>3000000</v>
      </c>
      <c r="H41" s="40">
        <v>3000000</v>
      </c>
      <c r="I41" s="40">
        <v>2975085.92</v>
      </c>
      <c r="J41" s="40"/>
      <c r="K41" s="40">
        <v>2975085.92</v>
      </c>
      <c r="L41" s="199">
        <f t="shared" si="8"/>
        <v>99.16953066666666</v>
      </c>
      <c r="M41" s="174"/>
      <c r="N41" s="11"/>
      <c r="P41" s="12"/>
      <c r="R41" s="13"/>
    </row>
    <row r="42" spans="1:18" ht="72.75" customHeight="1" x14ac:dyDescent="0.4">
      <c r="A42" s="272">
        <v>5</v>
      </c>
      <c r="B42" s="92" t="s">
        <v>232</v>
      </c>
      <c r="C42" s="25" t="s">
        <v>212</v>
      </c>
      <c r="D42" s="93">
        <v>3132</v>
      </c>
      <c r="E42" s="92" t="s">
        <v>204</v>
      </c>
      <c r="F42" s="92"/>
      <c r="G42" s="173">
        <f t="shared" si="11"/>
        <v>4500000</v>
      </c>
      <c r="H42" s="40">
        <v>3058833</v>
      </c>
      <c r="I42" s="40"/>
      <c r="J42" s="40"/>
      <c r="K42" s="40"/>
      <c r="L42" s="199">
        <f t="shared" si="8"/>
        <v>0</v>
      </c>
      <c r="M42" s="174">
        <v>1441167</v>
      </c>
      <c r="N42" s="11"/>
      <c r="P42" s="12"/>
      <c r="R42" s="13"/>
    </row>
    <row r="43" spans="1:18" ht="114.75" customHeight="1" x14ac:dyDescent="0.4">
      <c r="A43" s="272">
        <v>6</v>
      </c>
      <c r="B43" s="92" t="s">
        <v>233</v>
      </c>
      <c r="C43" s="25" t="s">
        <v>212</v>
      </c>
      <c r="D43" s="93">
        <v>3132</v>
      </c>
      <c r="E43" s="92" t="s">
        <v>204</v>
      </c>
      <c r="F43" s="92"/>
      <c r="G43" s="173">
        <f t="shared" si="11"/>
        <v>2500000</v>
      </c>
      <c r="H43" s="40">
        <v>2500000</v>
      </c>
      <c r="I43" s="40">
        <v>2463823.5</v>
      </c>
      <c r="J43" s="40"/>
      <c r="K43" s="40">
        <v>2463823.5</v>
      </c>
      <c r="L43" s="199">
        <f t="shared" si="8"/>
        <v>98.552940000000007</v>
      </c>
      <c r="M43" s="174"/>
      <c r="N43" s="11"/>
      <c r="P43" s="12"/>
      <c r="R43" s="13"/>
    </row>
    <row r="44" spans="1:18" ht="102.75" customHeight="1" x14ac:dyDescent="0.4">
      <c r="A44" s="272">
        <v>7</v>
      </c>
      <c r="B44" s="92" t="s">
        <v>234</v>
      </c>
      <c r="C44" s="25" t="s">
        <v>212</v>
      </c>
      <c r="D44" s="93">
        <v>3132</v>
      </c>
      <c r="E44" s="92" t="s">
        <v>211</v>
      </c>
      <c r="F44" s="92"/>
      <c r="G44" s="173">
        <f t="shared" si="11"/>
        <v>3500000</v>
      </c>
      <c r="H44" s="40">
        <v>3500000</v>
      </c>
      <c r="I44" s="40">
        <v>1229170.7</v>
      </c>
      <c r="J44" s="40"/>
      <c r="K44" s="40">
        <f>57978.83+1171191.85</f>
        <v>1229170.6800000002</v>
      </c>
      <c r="L44" s="199">
        <f t="shared" si="8"/>
        <v>35.119162285714289</v>
      </c>
      <c r="M44" s="174"/>
      <c r="N44" s="11"/>
      <c r="P44" s="12"/>
      <c r="R44" s="13"/>
    </row>
    <row r="45" spans="1:18" ht="59.25" customHeight="1" x14ac:dyDescent="0.4">
      <c r="A45" s="327">
        <v>8</v>
      </c>
      <c r="B45" s="325" t="s">
        <v>235</v>
      </c>
      <c r="C45" s="25" t="s">
        <v>212</v>
      </c>
      <c r="D45" s="93">
        <v>3132</v>
      </c>
      <c r="E45" s="92" t="s">
        <v>204</v>
      </c>
      <c r="F45" s="92"/>
      <c r="G45" s="173">
        <f t="shared" si="11"/>
        <v>2000000</v>
      </c>
      <c r="H45" s="40">
        <v>2000000</v>
      </c>
      <c r="I45" s="40">
        <v>1359580.8</v>
      </c>
      <c r="J45" s="40"/>
      <c r="K45" s="40"/>
      <c r="L45" s="199">
        <f t="shared" si="8"/>
        <v>0</v>
      </c>
      <c r="M45" s="174"/>
      <c r="N45" s="11"/>
      <c r="P45" s="12"/>
      <c r="R45" s="13"/>
    </row>
    <row r="46" spans="1:18" ht="59.25" customHeight="1" x14ac:dyDescent="0.4">
      <c r="A46" s="328"/>
      <c r="B46" s="326"/>
      <c r="C46" s="25" t="s">
        <v>212</v>
      </c>
      <c r="D46" s="93">
        <v>3132</v>
      </c>
      <c r="E46" s="92" t="s">
        <v>236</v>
      </c>
      <c r="F46" s="92"/>
      <c r="G46" s="173">
        <f t="shared" si="11"/>
        <v>1500000</v>
      </c>
      <c r="H46" s="40">
        <v>1500000</v>
      </c>
      <c r="I46" s="40"/>
      <c r="J46" s="40"/>
      <c r="K46" s="40"/>
      <c r="L46" s="199">
        <f t="shared" si="8"/>
        <v>0</v>
      </c>
      <c r="M46" s="174"/>
      <c r="N46" s="11"/>
      <c r="P46" s="12"/>
      <c r="R46" s="13"/>
    </row>
    <row r="47" spans="1:18" ht="102.75" customHeight="1" x14ac:dyDescent="0.4">
      <c r="A47" s="272">
        <v>9</v>
      </c>
      <c r="B47" s="92" t="s">
        <v>237</v>
      </c>
      <c r="C47" s="25" t="s">
        <v>212</v>
      </c>
      <c r="D47" s="93">
        <v>3132</v>
      </c>
      <c r="E47" s="92" t="s">
        <v>204</v>
      </c>
      <c r="F47" s="92"/>
      <c r="G47" s="173">
        <f t="shared" si="11"/>
        <v>5000000</v>
      </c>
      <c r="H47" s="40">
        <v>5000000</v>
      </c>
      <c r="I47" s="40">
        <v>3940370.62</v>
      </c>
      <c r="J47" s="40">
        <v>3940370.62</v>
      </c>
      <c r="K47" s="40">
        <v>3940370.62</v>
      </c>
      <c r="L47" s="199">
        <f t="shared" si="8"/>
        <v>78.807412400000004</v>
      </c>
      <c r="M47" s="174"/>
      <c r="N47" s="11"/>
      <c r="P47" s="12"/>
      <c r="R47" s="13"/>
    </row>
    <row r="48" spans="1:18" ht="102.75" customHeight="1" x14ac:dyDescent="0.4">
      <c r="A48" s="272">
        <v>10</v>
      </c>
      <c r="B48" s="92" t="s">
        <v>238</v>
      </c>
      <c r="C48" s="25" t="s">
        <v>212</v>
      </c>
      <c r="D48" s="93">
        <v>3132</v>
      </c>
      <c r="E48" s="92" t="s">
        <v>204</v>
      </c>
      <c r="F48" s="92"/>
      <c r="G48" s="173">
        <f t="shared" si="11"/>
        <v>2000000</v>
      </c>
      <c r="H48" s="40">
        <v>2000000</v>
      </c>
      <c r="I48" s="40"/>
      <c r="J48" s="40"/>
      <c r="K48" s="40"/>
      <c r="L48" s="199">
        <f t="shared" si="8"/>
        <v>0</v>
      </c>
      <c r="M48" s="174"/>
      <c r="N48" s="11"/>
      <c r="P48" s="12"/>
      <c r="R48" s="13"/>
    </row>
    <row r="49" spans="1:18" ht="102.75" customHeight="1" x14ac:dyDescent="0.4">
      <c r="A49" s="272">
        <v>11</v>
      </c>
      <c r="B49" s="92" t="s">
        <v>239</v>
      </c>
      <c r="C49" s="25" t="s">
        <v>212</v>
      </c>
      <c r="D49" s="93">
        <v>3132</v>
      </c>
      <c r="E49" s="92" t="s">
        <v>204</v>
      </c>
      <c r="F49" s="92"/>
      <c r="G49" s="173">
        <f t="shared" si="11"/>
        <v>6000000</v>
      </c>
      <c r="H49" s="40">
        <v>6000000</v>
      </c>
      <c r="I49" s="40"/>
      <c r="J49" s="40"/>
      <c r="K49" s="40"/>
      <c r="L49" s="199">
        <f t="shared" si="8"/>
        <v>0</v>
      </c>
      <c r="M49" s="174"/>
      <c r="N49" s="11"/>
      <c r="P49" s="12"/>
      <c r="R49" s="13"/>
    </row>
    <row r="50" spans="1:18" ht="117.75" customHeight="1" x14ac:dyDescent="0.4">
      <c r="A50" s="272">
        <v>12</v>
      </c>
      <c r="B50" s="92" t="s">
        <v>240</v>
      </c>
      <c r="C50" s="25" t="s">
        <v>212</v>
      </c>
      <c r="D50" s="93">
        <v>3132</v>
      </c>
      <c r="E50" s="92" t="s">
        <v>211</v>
      </c>
      <c r="F50" s="92"/>
      <c r="G50" s="173">
        <f t="shared" si="11"/>
        <v>6400000</v>
      </c>
      <c r="H50" s="40">
        <v>6400000</v>
      </c>
      <c r="I50" s="40">
        <v>359604.07</v>
      </c>
      <c r="J50" s="40"/>
      <c r="K50" s="40">
        <v>359604.07</v>
      </c>
      <c r="L50" s="199">
        <f t="shared" si="8"/>
        <v>5.6188135937500006</v>
      </c>
      <c r="M50" s="174"/>
      <c r="N50" s="11"/>
      <c r="P50" s="12"/>
      <c r="R50" s="13"/>
    </row>
    <row r="51" spans="1:18" ht="114.75" customHeight="1" x14ac:dyDescent="0.4">
      <c r="A51" s="272">
        <v>13</v>
      </c>
      <c r="B51" s="92" t="s">
        <v>241</v>
      </c>
      <c r="C51" s="25" t="s">
        <v>212</v>
      </c>
      <c r="D51" s="93">
        <v>3132</v>
      </c>
      <c r="E51" s="92" t="s">
        <v>211</v>
      </c>
      <c r="F51" s="92"/>
      <c r="G51" s="173">
        <f t="shared" si="11"/>
        <v>3100000</v>
      </c>
      <c r="H51" s="40">
        <v>3100000</v>
      </c>
      <c r="I51" s="40"/>
      <c r="J51" s="40"/>
      <c r="K51" s="40"/>
      <c r="L51" s="199">
        <f t="shared" si="8"/>
        <v>0</v>
      </c>
      <c r="M51" s="174"/>
      <c r="N51" s="11"/>
      <c r="P51" s="12"/>
      <c r="R51" s="13"/>
    </row>
    <row r="52" spans="1:18" ht="110.25" customHeight="1" x14ac:dyDescent="0.4">
      <c r="A52" s="272">
        <v>14</v>
      </c>
      <c r="B52" s="92" t="s">
        <v>242</v>
      </c>
      <c r="C52" s="25" t="s">
        <v>212</v>
      </c>
      <c r="D52" s="93">
        <v>3132</v>
      </c>
      <c r="E52" s="92" t="s">
        <v>204</v>
      </c>
      <c r="F52" s="92"/>
      <c r="G52" s="173">
        <f t="shared" si="11"/>
        <v>500000</v>
      </c>
      <c r="H52" s="40">
        <v>500000</v>
      </c>
      <c r="I52" s="40">
        <v>489149.53</v>
      </c>
      <c r="J52" s="40"/>
      <c r="K52" s="40">
        <v>489149.53</v>
      </c>
      <c r="L52" s="199">
        <f t="shared" si="8"/>
        <v>97.829906000000008</v>
      </c>
      <c r="M52" s="174"/>
      <c r="N52" s="11"/>
      <c r="P52" s="12"/>
      <c r="R52" s="13"/>
    </row>
    <row r="53" spans="1:18" s="215" customFormat="1" ht="110.25" customHeight="1" x14ac:dyDescent="0.5">
      <c r="A53" s="208"/>
      <c r="B53" s="194" t="s">
        <v>258</v>
      </c>
      <c r="C53" s="209"/>
      <c r="D53" s="210"/>
      <c r="E53" s="194"/>
      <c r="F53" s="194"/>
      <c r="G53" s="211">
        <f>G54+G56</f>
        <v>2179067</v>
      </c>
      <c r="H53" s="211">
        <f t="shared" ref="H53:M53" si="12">H54+H56</f>
        <v>2179067</v>
      </c>
      <c r="I53" s="211">
        <f t="shared" si="12"/>
        <v>937573</v>
      </c>
      <c r="J53" s="211">
        <f t="shared" si="12"/>
        <v>30072</v>
      </c>
      <c r="K53" s="211">
        <f t="shared" si="12"/>
        <v>937573</v>
      </c>
      <c r="L53" s="199">
        <f t="shared" si="8"/>
        <v>43.026350268257012</v>
      </c>
      <c r="M53" s="211">
        <f t="shared" si="12"/>
        <v>0</v>
      </c>
      <c r="N53" s="212"/>
      <c r="O53" s="213"/>
      <c r="P53" s="214"/>
      <c r="R53" s="216"/>
    </row>
    <row r="54" spans="1:18" ht="108.75" customHeight="1" x14ac:dyDescent="0.4">
      <c r="A54" s="95">
        <v>3124</v>
      </c>
      <c r="B54" s="96" t="s">
        <v>243</v>
      </c>
      <c r="C54" s="101"/>
      <c r="D54" s="98"/>
      <c r="E54" s="96"/>
      <c r="F54" s="96"/>
      <c r="G54" s="172">
        <f>H54+M54</f>
        <v>917288</v>
      </c>
      <c r="H54" s="99">
        <f t="shared" ref="H54:M54" si="13">SUM(H55)</f>
        <v>917288</v>
      </c>
      <c r="I54" s="99">
        <f t="shared" si="13"/>
        <v>907501</v>
      </c>
      <c r="J54" s="99">
        <f t="shared" si="13"/>
        <v>0</v>
      </c>
      <c r="K54" s="99">
        <f t="shared" si="13"/>
        <v>907501</v>
      </c>
      <c r="L54" s="199">
        <f t="shared" si="8"/>
        <v>98.933050470517429</v>
      </c>
      <c r="M54" s="172">
        <f t="shared" si="13"/>
        <v>0</v>
      </c>
      <c r="N54" s="11"/>
      <c r="P54" s="12"/>
      <c r="R54" s="13"/>
    </row>
    <row r="55" spans="1:18" ht="111.75" customHeight="1" x14ac:dyDescent="0.4">
      <c r="A55" s="272">
        <v>1</v>
      </c>
      <c r="B55" s="92" t="s">
        <v>244</v>
      </c>
      <c r="C55" s="25" t="s">
        <v>212</v>
      </c>
      <c r="D55" s="93">
        <v>3132</v>
      </c>
      <c r="E55" s="92" t="s">
        <v>245</v>
      </c>
      <c r="F55" s="92"/>
      <c r="G55" s="173">
        <v>917288</v>
      </c>
      <c r="H55" s="94">
        <v>917288</v>
      </c>
      <c r="I55" s="40">
        <v>907501</v>
      </c>
      <c r="J55" s="40"/>
      <c r="K55" s="40">
        <f>499000+408501</f>
        <v>907501</v>
      </c>
      <c r="L55" s="199">
        <f t="shared" si="8"/>
        <v>98.933050470517429</v>
      </c>
      <c r="M55" s="174"/>
      <c r="N55" s="11"/>
      <c r="P55" s="12"/>
      <c r="R55" s="13"/>
    </row>
    <row r="56" spans="1:18" s="20" customFormat="1" ht="83.25" customHeight="1" x14ac:dyDescent="0.4">
      <c r="A56" s="95">
        <v>3105</v>
      </c>
      <c r="B56" s="96" t="s">
        <v>246</v>
      </c>
      <c r="C56" s="97"/>
      <c r="D56" s="98"/>
      <c r="E56" s="96"/>
      <c r="F56" s="96"/>
      <c r="G56" s="172">
        <f>H56+M56</f>
        <v>1261779</v>
      </c>
      <c r="H56" s="99">
        <f t="shared" ref="H56:M56" si="14">SUM(H57)</f>
        <v>1261779</v>
      </c>
      <c r="I56" s="99">
        <f t="shared" si="14"/>
        <v>30072</v>
      </c>
      <c r="J56" s="99">
        <f t="shared" si="14"/>
        <v>30072</v>
      </c>
      <c r="K56" s="99">
        <f t="shared" si="14"/>
        <v>30072</v>
      </c>
      <c r="L56" s="199">
        <f t="shared" si="8"/>
        <v>2.3833016716873554</v>
      </c>
      <c r="M56" s="172">
        <f t="shared" si="14"/>
        <v>0</v>
      </c>
      <c r="N56" s="11"/>
      <c r="O56" s="72"/>
      <c r="P56" s="102"/>
      <c r="R56" s="103"/>
    </row>
    <row r="57" spans="1:18" ht="113.25" customHeight="1" x14ac:dyDescent="0.4">
      <c r="A57" s="59">
        <v>1</v>
      </c>
      <c r="B57" s="104" t="s">
        <v>247</v>
      </c>
      <c r="C57" s="25" t="s">
        <v>212</v>
      </c>
      <c r="D57" s="93">
        <v>3132</v>
      </c>
      <c r="E57" s="92" t="s">
        <v>245</v>
      </c>
      <c r="F57" s="92"/>
      <c r="G57" s="173">
        <f>H57+M57</f>
        <v>1261779</v>
      </c>
      <c r="H57" s="94">
        <v>1261779</v>
      </c>
      <c r="I57" s="40">
        <v>30072</v>
      </c>
      <c r="J57" s="40">
        <v>30072</v>
      </c>
      <c r="K57" s="40">
        <v>30072</v>
      </c>
      <c r="L57" s="199">
        <f t="shared" si="8"/>
        <v>2.3833016716873554</v>
      </c>
      <c r="M57" s="176"/>
    </row>
    <row r="58" spans="1:18" s="222" customFormat="1" ht="75" customHeight="1" x14ac:dyDescent="0.4">
      <c r="A58" s="217"/>
      <c r="B58" s="218" t="s">
        <v>251</v>
      </c>
      <c r="C58" s="219" t="s">
        <v>212</v>
      </c>
      <c r="D58" s="220"/>
      <c r="E58" s="217"/>
      <c r="F58" s="217"/>
      <c r="G58" s="221">
        <f>G13+G36+G54+G56</f>
        <v>143912853</v>
      </c>
      <c r="H58" s="221">
        <f t="shared" ref="H58:M58" si="15">H13+H36+H54+H56</f>
        <v>96541508</v>
      </c>
      <c r="I58" s="221">
        <f t="shared" si="15"/>
        <v>31749130.82</v>
      </c>
      <c r="J58" s="221">
        <f t="shared" si="15"/>
        <v>3970442.62</v>
      </c>
      <c r="K58" s="221">
        <f t="shared" si="15"/>
        <v>30388836</v>
      </c>
      <c r="L58" s="199">
        <f t="shared" si="8"/>
        <v>21.116137555830402</v>
      </c>
      <c r="M58" s="221">
        <f t="shared" si="15"/>
        <v>47371345</v>
      </c>
      <c r="O58" s="223"/>
    </row>
    <row r="59" spans="1:18" ht="75" customHeight="1" x14ac:dyDescent="0.45">
      <c r="A59" s="59"/>
      <c r="B59" s="183"/>
      <c r="C59" s="25"/>
      <c r="D59" s="110"/>
      <c r="E59" s="59"/>
      <c r="F59" s="59"/>
      <c r="G59" s="184"/>
      <c r="H59" s="35"/>
      <c r="I59" s="182"/>
      <c r="J59" s="35"/>
      <c r="K59" s="35"/>
      <c r="L59" s="199"/>
      <c r="M59" s="184" t="e">
        <f>#REF!</f>
        <v>#REF!</v>
      </c>
    </row>
    <row r="60" spans="1:18" s="177" customFormat="1" ht="75" customHeight="1" x14ac:dyDescent="0.45">
      <c r="A60" s="179"/>
      <c r="B60" s="180"/>
      <c r="C60" s="25"/>
      <c r="D60" s="181"/>
      <c r="E60" s="179"/>
      <c r="F60" s="179"/>
      <c r="G60" s="185"/>
      <c r="H60" s="185"/>
      <c r="I60" s="185"/>
      <c r="J60" s="185"/>
      <c r="K60" s="185"/>
      <c r="L60" s="199"/>
      <c r="M60" s="185" t="e">
        <f>M58+#REF!</f>
        <v>#REF!</v>
      </c>
      <c r="O60" s="178"/>
    </row>
    <row r="61" spans="1:18" ht="25.95" customHeight="1" x14ac:dyDescent="0.4">
      <c r="G61" s="75"/>
      <c r="H61" s="75"/>
      <c r="I61" s="75"/>
      <c r="J61" s="75"/>
      <c r="K61" s="75"/>
      <c r="L61" s="75"/>
      <c r="M61" s="75" t="e">
        <f t="shared" ref="M61" si="16">M58+M59</f>
        <v>#REF!</v>
      </c>
    </row>
  </sheetData>
  <mergeCells count="20">
    <mergeCell ref="A28:A29"/>
    <mergeCell ref="B28:B29"/>
    <mergeCell ref="A39:A40"/>
    <mergeCell ref="B39:B40"/>
    <mergeCell ref="A45:A46"/>
    <mergeCell ref="B45:B46"/>
    <mergeCell ref="B15:B16"/>
    <mergeCell ref="A15:A16"/>
    <mergeCell ref="B20:B21"/>
    <mergeCell ref="A20:A21"/>
    <mergeCell ref="A4:A6"/>
    <mergeCell ref="B4:B6"/>
    <mergeCell ref="A2:N2"/>
    <mergeCell ref="C4:C6"/>
    <mergeCell ref="D4:D6"/>
    <mergeCell ref="E4:E6"/>
    <mergeCell ref="G4:G6"/>
    <mergeCell ref="H5:K5"/>
    <mergeCell ref="H4:N4"/>
    <mergeCell ref="F4:F6"/>
  </mergeCells>
  <pageMargins left="0.11811023622047245" right="0.11811023622047245" top="0.19685039370078741" bottom="0.15748031496062992" header="0.31496062992125984" footer="0.31496062992125984"/>
  <pageSetup paperSize="9" scale="53" fitToHeight="0" orientation="landscape" horizontalDpi="180" verticalDpi="18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ЖКГ</vt:lpstr>
      <vt:lpstr>ОСВІТА, СОЦЗАХ</vt:lpstr>
      <vt:lpstr>'ОСВІТА, СОЦЗАХ'!Область_печати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siduk_og</dc:creator>
  <cp:lastModifiedBy>Пользователь</cp:lastModifiedBy>
  <cp:lastPrinted>2024-08-27T07:06:46Z</cp:lastPrinted>
  <dcterms:created xsi:type="dcterms:W3CDTF">2024-08-20T11:19:49Z</dcterms:created>
  <dcterms:modified xsi:type="dcterms:W3CDTF">2024-08-27T16:11:21Z</dcterms:modified>
</cp:coreProperties>
</file>