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ZER91\valentina\Мои документы\БЮДЖЕТ ПРОЕКТИ\Бюджет 2024 проєкт\"/>
    </mc:Choice>
  </mc:AlternateContent>
  <bookViews>
    <workbookView xWindow="0" yWindow="0" windowWidth="28800" windowHeight="12345"/>
  </bookViews>
  <sheets>
    <sheet name="Проєкт на 2024 скорочено" sheetId="1" r:id="rId1"/>
  </sheets>
  <externalReferences>
    <externalReference r:id="rId2"/>
  </externalReferences>
  <definedNames>
    <definedName name="_xlnm.Print_Area" localSheetId="0">'Проєкт на 2024 скорочено'!$A$1:$M$105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5" i="1" l="1"/>
  <c r="C105" i="1"/>
  <c r="J105" i="1" s="1"/>
  <c r="I104" i="1"/>
  <c r="C104" i="1"/>
  <c r="L103" i="1"/>
  <c r="C103" i="1"/>
  <c r="H102" i="1"/>
  <c r="G102" i="1"/>
  <c r="K102" i="1" s="1"/>
  <c r="E102" i="1"/>
  <c r="H101" i="1"/>
  <c r="G101" i="1"/>
  <c r="K101" i="1" s="1"/>
  <c r="D101" i="1"/>
  <c r="C101" i="1"/>
  <c r="B100" i="1"/>
  <c r="L99" i="1"/>
  <c r="H99" i="1"/>
  <c r="D99" i="1"/>
  <c r="L98" i="1"/>
  <c r="K98" i="1"/>
  <c r="H98" i="1"/>
  <c r="G98" i="1"/>
  <c r="J98" i="1" s="1"/>
  <c r="D98" i="1"/>
  <c r="F98" i="1" s="1"/>
  <c r="C98" i="1"/>
  <c r="H97" i="1"/>
  <c r="H90" i="1" s="1"/>
  <c r="D97" i="1"/>
  <c r="L96" i="1"/>
  <c r="H96" i="1"/>
  <c r="H95" i="1"/>
  <c r="G95" i="1"/>
  <c r="F95" i="1"/>
  <c r="E95" i="1"/>
  <c r="D95" i="1"/>
  <c r="C95" i="1"/>
  <c r="H94" i="1"/>
  <c r="G94" i="1"/>
  <c r="K94" i="1" s="1"/>
  <c r="F94" i="1"/>
  <c r="E94" i="1"/>
  <c r="D94" i="1"/>
  <c r="H93" i="1"/>
  <c r="E93" i="1"/>
  <c r="L91" i="1"/>
  <c r="H91" i="1"/>
  <c r="E91" i="1"/>
  <c r="D91" i="1"/>
  <c r="D93" i="1" s="1"/>
  <c r="K87" i="1"/>
  <c r="H86" i="1"/>
  <c r="G86" i="1"/>
  <c r="J86" i="1" s="1"/>
  <c r="E86" i="1"/>
  <c r="D86" i="1"/>
  <c r="C86" i="1"/>
  <c r="K85" i="1"/>
  <c r="K84" i="1"/>
  <c r="B83" i="1"/>
  <c r="B85" i="1" s="1"/>
  <c r="K82" i="1"/>
  <c r="J82" i="1"/>
  <c r="I82" i="1"/>
  <c r="K81" i="1"/>
  <c r="J81" i="1"/>
  <c r="I81" i="1"/>
  <c r="I80" i="1" s="1"/>
  <c r="J80" i="1"/>
  <c r="H80" i="1"/>
  <c r="G80" i="1"/>
  <c r="G103" i="1" s="1"/>
  <c r="J103" i="1" s="1"/>
  <c r="F80" i="1"/>
  <c r="E80" i="1"/>
  <c r="D80" i="1"/>
  <c r="C80" i="1"/>
  <c r="K79" i="1"/>
  <c r="J79" i="1"/>
  <c r="K78" i="1"/>
  <c r="J78" i="1"/>
  <c r="I78" i="1"/>
  <c r="F78" i="1"/>
  <c r="K77" i="1"/>
  <c r="J77" i="1"/>
  <c r="I77" i="1"/>
  <c r="K76" i="1"/>
  <c r="J76" i="1"/>
  <c r="I76" i="1"/>
  <c r="K75" i="1"/>
  <c r="J75" i="1"/>
  <c r="I75" i="1"/>
  <c r="F75" i="1"/>
  <c r="K74" i="1"/>
  <c r="J74" i="1"/>
  <c r="I74" i="1"/>
  <c r="F74" i="1"/>
  <c r="G73" i="1"/>
  <c r="F73" i="1"/>
  <c r="K72" i="1"/>
  <c r="I72" i="1"/>
  <c r="F72" i="1"/>
  <c r="L71" i="1"/>
  <c r="H71" i="1"/>
  <c r="D71" i="1"/>
  <c r="C71" i="1"/>
  <c r="L70" i="1"/>
  <c r="H70" i="1"/>
  <c r="C70" i="1"/>
  <c r="K69" i="1"/>
  <c r="J69" i="1"/>
  <c r="I69" i="1"/>
  <c r="K68" i="1"/>
  <c r="J68" i="1"/>
  <c r="I68" i="1"/>
  <c r="K67" i="1"/>
  <c r="J67" i="1"/>
  <c r="I67" i="1"/>
  <c r="F67" i="1"/>
  <c r="K66" i="1"/>
  <c r="J66" i="1"/>
  <c r="I66" i="1"/>
  <c r="F66" i="1"/>
  <c r="F64" i="1" s="1"/>
  <c r="G65" i="1"/>
  <c r="F65" i="1"/>
  <c r="L64" i="1"/>
  <c r="L63" i="1" s="1"/>
  <c r="H64" i="1"/>
  <c r="H63" i="1" s="1"/>
  <c r="E64" i="1"/>
  <c r="D64" i="1"/>
  <c r="D63" i="1" s="1"/>
  <c r="C64" i="1"/>
  <c r="F63" i="1"/>
  <c r="C63" i="1"/>
  <c r="K62" i="1"/>
  <c r="J62" i="1"/>
  <c r="I62" i="1"/>
  <c r="K61" i="1"/>
  <c r="J61" i="1"/>
  <c r="I61" i="1"/>
  <c r="J60" i="1"/>
  <c r="I60" i="1"/>
  <c r="K59" i="1"/>
  <c r="J59" i="1"/>
  <c r="I59" i="1"/>
  <c r="K58" i="1"/>
  <c r="I58" i="1"/>
  <c r="C58" i="1"/>
  <c r="J58" i="1" s="1"/>
  <c r="K57" i="1"/>
  <c r="J57" i="1"/>
  <c r="I57" i="1"/>
  <c r="D57" i="1"/>
  <c r="K56" i="1"/>
  <c r="J56" i="1"/>
  <c r="I56" i="1"/>
  <c r="F56" i="1"/>
  <c r="K55" i="1"/>
  <c r="C55" i="1"/>
  <c r="F55" i="1" s="1"/>
  <c r="K54" i="1"/>
  <c r="J54" i="1"/>
  <c r="I54" i="1"/>
  <c r="K53" i="1"/>
  <c r="J53" i="1"/>
  <c r="I53" i="1"/>
  <c r="I98" i="1" s="1"/>
  <c r="F53" i="1"/>
  <c r="K52" i="1"/>
  <c r="J52" i="1"/>
  <c r="I52" i="1"/>
  <c r="F52" i="1"/>
  <c r="K51" i="1"/>
  <c r="J51" i="1"/>
  <c r="I51" i="1"/>
  <c r="F51" i="1"/>
  <c r="K50" i="1"/>
  <c r="L49" i="1"/>
  <c r="K49" i="1"/>
  <c r="H49" i="1"/>
  <c r="G49" i="1"/>
  <c r="E49" i="1"/>
  <c r="E88" i="1" s="1"/>
  <c r="K48" i="1"/>
  <c r="J48" i="1"/>
  <c r="I48" i="1"/>
  <c r="F48" i="1"/>
  <c r="J47" i="1"/>
  <c r="I47" i="1"/>
  <c r="F47" i="1"/>
  <c r="J46" i="1"/>
  <c r="I46" i="1"/>
  <c r="F46" i="1"/>
  <c r="K45" i="1"/>
  <c r="J45" i="1"/>
  <c r="I45" i="1"/>
  <c r="F45" i="1"/>
  <c r="K44" i="1"/>
  <c r="J44" i="1"/>
  <c r="I44" i="1"/>
  <c r="F44" i="1"/>
  <c r="G43" i="1"/>
  <c r="C43" i="1"/>
  <c r="L42" i="1"/>
  <c r="K42" i="1"/>
  <c r="H42" i="1"/>
  <c r="G42" i="1"/>
  <c r="D42" i="1"/>
  <c r="L41" i="1"/>
  <c r="H41" i="1"/>
  <c r="G41" i="1"/>
  <c r="E41" i="1"/>
  <c r="I40" i="1"/>
  <c r="J39" i="1"/>
  <c r="I39" i="1"/>
  <c r="J38" i="1"/>
  <c r="I38" i="1"/>
  <c r="J37" i="1"/>
  <c r="I37" i="1"/>
  <c r="J36" i="1"/>
  <c r="I36" i="1"/>
  <c r="J35" i="1"/>
  <c r="I35" i="1"/>
  <c r="G34" i="1"/>
  <c r="I34" i="1" s="1"/>
  <c r="F33" i="1"/>
  <c r="E33" i="1"/>
  <c r="D33" i="1"/>
  <c r="C33" i="1"/>
  <c r="K32" i="1"/>
  <c r="I32" i="1"/>
  <c r="I99" i="1" s="1"/>
  <c r="G32" i="1"/>
  <c r="G99" i="1" s="1"/>
  <c r="K99" i="1" s="1"/>
  <c r="F32" i="1"/>
  <c r="C32" i="1"/>
  <c r="C99" i="1" s="1"/>
  <c r="F99" i="1" s="1"/>
  <c r="K31" i="1"/>
  <c r="I31" i="1"/>
  <c r="G31" i="1"/>
  <c r="J31" i="1" s="1"/>
  <c r="F31" i="1"/>
  <c r="C31" i="1"/>
  <c r="K30" i="1"/>
  <c r="I30" i="1"/>
  <c r="G30" i="1"/>
  <c r="J30" i="1" s="1"/>
  <c r="F30" i="1"/>
  <c r="C30" i="1"/>
  <c r="C96" i="1" s="1"/>
  <c r="F29" i="1"/>
  <c r="C29" i="1"/>
  <c r="L28" i="1"/>
  <c r="H28" i="1"/>
  <c r="D28" i="1"/>
  <c r="C28" i="1"/>
  <c r="F28" i="1" s="1"/>
  <c r="K27" i="1"/>
  <c r="J27" i="1"/>
  <c r="I27" i="1"/>
  <c r="I86" i="1" s="1"/>
  <c r="F27" i="1"/>
  <c r="L26" i="1"/>
  <c r="L102" i="1" s="1"/>
  <c r="K26" i="1"/>
  <c r="J26" i="1"/>
  <c r="I26" i="1"/>
  <c r="L25" i="1"/>
  <c r="L101" i="1" s="1"/>
  <c r="L100" i="1" s="1"/>
  <c r="K25" i="1"/>
  <c r="J25" i="1"/>
  <c r="I25" i="1"/>
  <c r="F25" i="1"/>
  <c r="F101" i="1" s="1"/>
  <c r="K24" i="1"/>
  <c r="G24" i="1"/>
  <c r="G97" i="1" s="1"/>
  <c r="K97" i="1" s="1"/>
  <c r="C24" i="1"/>
  <c r="C97" i="1" s="1"/>
  <c r="F97" i="1" s="1"/>
  <c r="K23" i="1"/>
  <c r="J23" i="1"/>
  <c r="I23" i="1"/>
  <c r="K22" i="1"/>
  <c r="J22" i="1"/>
  <c r="I22" i="1"/>
  <c r="F22" i="1"/>
  <c r="F96" i="1" s="1"/>
  <c r="E22" i="1"/>
  <c r="E96" i="1" s="1"/>
  <c r="E90" i="1" s="1"/>
  <c r="D22" i="1"/>
  <c r="D96" i="1" s="1"/>
  <c r="D90" i="1" s="1"/>
  <c r="K21" i="1"/>
  <c r="I21" i="1"/>
  <c r="C21" i="1"/>
  <c r="J21" i="1" s="1"/>
  <c r="J20" i="1"/>
  <c r="I20" i="1"/>
  <c r="I95" i="1" s="1"/>
  <c r="K19" i="1"/>
  <c r="I19" i="1"/>
  <c r="I94" i="1" s="1"/>
  <c r="C19" i="1"/>
  <c r="C94" i="1" s="1"/>
  <c r="J94" i="1" s="1"/>
  <c r="K18" i="1"/>
  <c r="J18" i="1"/>
  <c r="I18" i="1"/>
  <c r="G16" i="1"/>
  <c r="K16" i="1" s="1"/>
  <c r="C16" i="1"/>
  <c r="C91" i="1" s="1"/>
  <c r="L15" i="1"/>
  <c r="L14" i="1" s="1"/>
  <c r="H15" i="1"/>
  <c r="H14" i="1" s="1"/>
  <c r="D15" i="1"/>
  <c r="C15" i="1"/>
  <c r="C14" i="1" s="1"/>
  <c r="D14" i="1"/>
  <c r="F14" i="1" s="1"/>
  <c r="J13" i="1"/>
  <c r="I13" i="1"/>
  <c r="J12" i="1"/>
  <c r="I12" i="1"/>
  <c r="F12" i="1"/>
  <c r="J11" i="1"/>
  <c r="I11" i="1"/>
  <c r="E11" i="1"/>
  <c r="E101" i="1" s="1"/>
  <c r="E100" i="1" s="1"/>
  <c r="L10" i="1"/>
  <c r="L97" i="1" s="1"/>
  <c r="L90" i="1" s="1"/>
  <c r="K10" i="1"/>
  <c r="J10" i="1"/>
  <c r="I10" i="1"/>
  <c r="F10" i="1"/>
  <c r="K9" i="1"/>
  <c r="J9" i="1"/>
  <c r="I9" i="1"/>
  <c r="I96" i="1" s="1"/>
  <c r="K8" i="1"/>
  <c r="I8" i="1"/>
  <c r="G8" i="1"/>
  <c r="J8" i="1" s="1"/>
  <c r="F8" i="1"/>
  <c r="H7" i="1"/>
  <c r="G7" i="1"/>
  <c r="D7" i="1"/>
  <c r="L6" i="1"/>
  <c r="L83" i="1" s="1"/>
  <c r="H6" i="1"/>
  <c r="H83" i="1" s="1"/>
  <c r="G6" i="1"/>
  <c r="K6" i="1" s="1"/>
  <c r="D6" i="1"/>
  <c r="C6" i="1"/>
  <c r="C7" i="1" s="1"/>
  <c r="J3" i="1"/>
  <c r="F7" i="1" l="1"/>
  <c r="C93" i="1"/>
  <c r="C90" i="1"/>
  <c r="J7" i="1"/>
  <c r="F6" i="1"/>
  <c r="J6" i="1"/>
  <c r="I7" i="1"/>
  <c r="K7" i="1"/>
  <c r="F15" i="1"/>
  <c r="J16" i="1"/>
  <c r="I24" i="1"/>
  <c r="J34" i="1"/>
  <c r="K41" i="1"/>
  <c r="F43" i="1"/>
  <c r="F91" i="1" s="1"/>
  <c r="C42" i="1"/>
  <c r="C41" i="1" s="1"/>
  <c r="J41" i="1" s="1"/>
  <c r="J43" i="1"/>
  <c r="K65" i="1"/>
  <c r="I65" i="1"/>
  <c r="I64" i="1" s="1"/>
  <c r="I63" i="1" s="1"/>
  <c r="G64" i="1"/>
  <c r="F71" i="1"/>
  <c r="D70" i="1"/>
  <c r="F70" i="1" s="1"/>
  <c r="K73" i="1"/>
  <c r="I73" i="1"/>
  <c r="F86" i="1"/>
  <c r="D103" i="1"/>
  <c r="F103" i="1" s="1"/>
  <c r="H88" i="1"/>
  <c r="G96" i="1"/>
  <c r="J99" i="1"/>
  <c r="I6" i="1"/>
  <c r="L7" i="1"/>
  <c r="L88" i="1" s="1"/>
  <c r="I97" i="1"/>
  <c r="G15" i="1"/>
  <c r="I16" i="1"/>
  <c r="J19" i="1"/>
  <c r="J24" i="1"/>
  <c r="G29" i="1"/>
  <c r="J32" i="1"/>
  <c r="G33" i="1"/>
  <c r="D41" i="1"/>
  <c r="J42" i="1"/>
  <c r="K43" i="1"/>
  <c r="I43" i="1"/>
  <c r="I42" i="1" s="1"/>
  <c r="I41" i="1" s="1"/>
  <c r="C49" i="1"/>
  <c r="C88" i="1" s="1"/>
  <c r="J49" i="1"/>
  <c r="I55" i="1"/>
  <c r="I49" i="1" s="1"/>
  <c r="D102" i="1"/>
  <c r="D100" i="1" s="1"/>
  <c r="F57" i="1"/>
  <c r="F49" i="1" s="1"/>
  <c r="D49" i="1"/>
  <c r="D88" i="1" s="1"/>
  <c r="J65" i="1"/>
  <c r="G71" i="1"/>
  <c r="J73" i="1"/>
  <c r="C83" i="1"/>
  <c r="E83" i="1"/>
  <c r="K103" i="1"/>
  <c r="I103" i="1"/>
  <c r="D83" i="1"/>
  <c r="K86" i="1"/>
  <c r="J95" i="1"/>
  <c r="J97" i="1"/>
  <c r="G100" i="1"/>
  <c r="J101" i="1"/>
  <c r="I101" i="1"/>
  <c r="I100" i="1" s="1"/>
  <c r="C102" i="1"/>
  <c r="C100" i="1" s="1"/>
  <c r="J102" i="1"/>
  <c r="I102" i="1"/>
  <c r="H103" i="1"/>
  <c r="H100" i="1" s="1"/>
  <c r="K80" i="1"/>
  <c r="F93" i="1" l="1"/>
  <c r="F90" i="1"/>
  <c r="J71" i="1"/>
  <c r="G70" i="1"/>
  <c r="I71" i="1"/>
  <c r="K71" i="1"/>
  <c r="J33" i="1"/>
  <c r="I33" i="1"/>
  <c r="K15" i="1"/>
  <c r="I15" i="1"/>
  <c r="I14" i="1" s="1"/>
  <c r="J15" i="1"/>
  <c r="G14" i="1"/>
  <c r="K64" i="1"/>
  <c r="G63" i="1"/>
  <c r="J64" i="1"/>
  <c r="F102" i="1"/>
  <c r="F100" i="1" s="1"/>
  <c r="F42" i="1"/>
  <c r="F41" i="1" s="1"/>
  <c r="F83" i="1" s="1"/>
  <c r="J100" i="1"/>
  <c r="K100" i="1"/>
  <c r="J29" i="1"/>
  <c r="G28" i="1"/>
  <c r="G88" i="1" s="1"/>
  <c r="K29" i="1"/>
  <c r="I29" i="1"/>
  <c r="I93" i="1" s="1"/>
  <c r="J96" i="1"/>
  <c r="K96" i="1"/>
  <c r="G91" i="1"/>
  <c r="J88" i="1" l="1"/>
  <c r="K88" i="1"/>
  <c r="J91" i="1"/>
  <c r="G93" i="1"/>
  <c r="K91" i="1"/>
  <c r="G90" i="1"/>
  <c r="I70" i="1"/>
  <c r="K70" i="1"/>
  <c r="J70" i="1"/>
  <c r="G83" i="1"/>
  <c r="F88" i="1"/>
  <c r="K63" i="1"/>
  <c r="J63" i="1"/>
  <c r="J14" i="1"/>
  <c r="K14" i="1"/>
  <c r="I91" i="1"/>
  <c r="I90" i="1" s="1"/>
  <c r="K28" i="1"/>
  <c r="I28" i="1"/>
  <c r="I83" i="1" s="1"/>
  <c r="I79" i="1" s="1"/>
  <c r="J28" i="1"/>
  <c r="K83" i="1" l="1"/>
  <c r="J83" i="1"/>
  <c r="I88" i="1"/>
  <c r="J90" i="1"/>
  <c r="K90" i="1"/>
  <c r="J93" i="1"/>
  <c r="K93" i="1"/>
</calcChain>
</file>

<file path=xl/sharedStrings.xml><?xml version="1.0" encoding="utf-8"?>
<sst xmlns="http://schemas.openxmlformats.org/spreadsheetml/2006/main" count="131" uniqueCount="97">
  <si>
    <t xml:space="preserve">Розподіл граничного показника видатків бюджету загального та спеціального фонду (у тому числі  власні надходження бюджетних установ) бюджету міста Києва на 2024 рік                                              по Подільській районній в місті Києві державній адміністрації    </t>
  </si>
  <si>
    <t>тис.грн</t>
  </si>
  <si>
    <t>Галузь</t>
  </si>
  <si>
    <t>затверджено  рішенням  від 12.12.2016 (із змінами від 26.09.2017)</t>
  </si>
  <si>
    <t>Затверджено на 2023 рік (з урахуванням змін станом на 01.10.2023)</t>
  </si>
  <si>
    <t>Затверджено на 2022 рік  (з урахуванням  змін станом на 01.10.2022) тис.грн.</t>
  </si>
  <si>
    <r>
      <t>Граничний обсяг (</t>
    </r>
    <r>
      <rPr>
        <b/>
        <sz val="12"/>
        <rFont val="Times New Roman"/>
        <family val="1"/>
        <charset val="204"/>
      </rPr>
      <t>доведено листом Департаменту фінансів від 12.10.2023 №054-1-1-08/1879</t>
    </r>
    <r>
      <rPr>
        <b/>
        <sz val="14"/>
        <rFont val="Times New Roman"/>
        <family val="1"/>
        <charset val="204"/>
      </rPr>
      <t>)</t>
    </r>
  </si>
  <si>
    <t xml:space="preserve">РОЗРАХОВАНО РОЗПОРЯДНИКАМИ У ПРОЄКТАХ КОШТОРИСІВ </t>
  </si>
  <si>
    <t>Різниця між граничним показником і уточненим планом станом на 01.10.2023</t>
  </si>
  <si>
    <t>Темп росту 2023рік до уточненого плану  на 01.11. 2022 рік                %</t>
  </si>
  <si>
    <t>Додаткова потреба у видатках на 2022 рік , тис.грн</t>
  </si>
  <si>
    <t xml:space="preserve">Обгрунтування додаткової потреби </t>
  </si>
  <si>
    <t>ЗАГАЛЬНИЙ ФОНД</t>
  </si>
  <si>
    <t>Державне управління(у тому числі власні надходження)</t>
  </si>
  <si>
    <t>Державне управління(без власних надходжень)</t>
  </si>
  <si>
    <t>заробітна плата  з нарахуваннями</t>
  </si>
  <si>
    <t xml:space="preserve">енергоносії </t>
  </si>
  <si>
    <t>інші видатки</t>
  </si>
  <si>
    <t xml:space="preserve">1278,460 тис.грн КЕКВ 2210 , у тому числі : 283,660тис.грн придбання пального; 575,0 тис.грн-компютери; 41,0 тис.грн - принтери; 94,0тис.грн - джерела безперебійного живлення; 170,0 тис.грн. -папір; 28,0тис. - поліграф продукція ; 84,3тис.грн- поштові марки; 2,5тис.грн. зовнішній накопичувач;  КЕКВ 2240 766,250 тис.грн, утому числі: 196,0тис.грн ремонт авто,170,0 тис.грн. охорона приміщеня, 32,250 тис.грн заправка картриджів; 90,0тис.грн.- експлуатаційні послуги; 278,0тис.грн - прибирання приміщень </t>
  </si>
  <si>
    <t>капітальні видатки обладнання</t>
  </si>
  <si>
    <t>капітальні видатки ремонт</t>
  </si>
  <si>
    <t>власні надходження форма 4-1</t>
  </si>
  <si>
    <t>Освіта</t>
  </si>
  <si>
    <t>Освіта (загальний і спеціальний  фонд без власних надходжень бюджетних установ )</t>
  </si>
  <si>
    <t>у тому числі:</t>
  </si>
  <si>
    <t>за рахунок коштів місцевого бюджету</t>
  </si>
  <si>
    <t>за рахунок коштів освітньої субвенції</t>
  </si>
  <si>
    <t>зарплата приватні школи</t>
  </si>
  <si>
    <t>за рахунок коштів субвенції інклюзії</t>
  </si>
  <si>
    <t>інші захщені видатки</t>
  </si>
  <si>
    <r>
      <rPr>
        <b/>
        <sz val="10"/>
        <rFont val="Calibri"/>
        <family val="2"/>
        <charset val="204"/>
      </rPr>
      <t>5892,88</t>
    </r>
    <r>
      <rPr>
        <sz val="10"/>
        <rFont val="Calibri"/>
        <family val="2"/>
        <charset val="204"/>
      </rPr>
      <t>тис.грн.встановлення, монтаж, модернізація АПС ;</t>
    </r>
    <r>
      <rPr>
        <b/>
        <sz val="10"/>
        <rFont val="Calibri"/>
        <family val="2"/>
        <charset val="204"/>
      </rPr>
      <t xml:space="preserve"> 5033,06</t>
    </r>
    <r>
      <rPr>
        <sz val="10"/>
        <rFont val="Calibri"/>
        <family val="2"/>
        <charset val="204"/>
      </rPr>
      <t xml:space="preserve"> тис.грн.ремонт та обслуговування АПС ;</t>
    </r>
    <r>
      <rPr>
        <b/>
        <sz val="10"/>
        <rFont val="Calibri"/>
        <family val="2"/>
        <charset val="204"/>
      </rPr>
      <t xml:space="preserve">8240,0 тис.грн  </t>
    </r>
    <r>
      <rPr>
        <sz val="10"/>
        <rFont val="Calibri"/>
        <family val="2"/>
        <charset val="204"/>
      </rPr>
      <t xml:space="preserve">поточний ремонт інженерних мереж; </t>
    </r>
    <r>
      <rPr>
        <b/>
        <sz val="10"/>
        <rFont val="Calibri"/>
        <family val="2"/>
        <charset val="204"/>
      </rPr>
      <t>8700,0 тис.грн</t>
    </r>
    <r>
      <rPr>
        <sz val="10"/>
        <rFont val="Calibri"/>
        <family val="2"/>
        <charset val="204"/>
      </rPr>
      <t xml:space="preserve"> поточний ремонт вентиляційних систем; </t>
    </r>
    <r>
      <rPr>
        <b/>
        <sz val="10"/>
        <rFont val="Calibri"/>
        <family val="2"/>
        <charset val="204"/>
      </rPr>
      <t>6100,0тис.грн</t>
    </r>
    <r>
      <rPr>
        <sz val="10"/>
        <rFont val="Calibri"/>
        <family val="2"/>
        <charset val="204"/>
      </rPr>
      <t xml:space="preserve"> ремонт ливнестоків; </t>
    </r>
    <r>
      <rPr>
        <b/>
        <sz val="10"/>
        <rFont val="Calibri"/>
        <family val="2"/>
        <charset val="204"/>
      </rPr>
      <t>6071,0тис.грн</t>
    </r>
    <r>
      <rPr>
        <sz val="10"/>
        <rFont val="Calibri"/>
        <family val="2"/>
        <charset val="204"/>
      </rPr>
      <t xml:space="preserve"> розробка проєкту та монтаж блискавкозахисту;</t>
    </r>
    <r>
      <rPr>
        <b/>
        <sz val="10"/>
        <rFont val="Calibri"/>
        <family val="2"/>
        <charset val="204"/>
      </rPr>
      <t xml:space="preserve">5600,0тис.грн. </t>
    </r>
    <r>
      <rPr>
        <sz val="10"/>
        <rFont val="Calibri"/>
        <family val="2"/>
        <charset val="204"/>
      </rPr>
      <t>- поточний ремонт приміщень;</t>
    </r>
    <r>
      <rPr>
        <b/>
        <sz val="10"/>
        <rFont val="Calibri"/>
        <family val="2"/>
        <charset val="204"/>
      </rPr>
      <t>4030,0тис.грн.</t>
    </r>
    <r>
      <rPr>
        <sz val="10"/>
        <rFont val="Calibri"/>
        <family val="2"/>
        <charset val="204"/>
      </rPr>
      <t xml:space="preserve"> - поточний ремонт електромереж, електрошитових та освітлення; </t>
    </r>
    <r>
      <rPr>
        <b/>
        <sz val="10"/>
        <rFont val="Calibri"/>
        <family val="2"/>
        <charset val="204"/>
      </rPr>
      <t>4000,0 тис.грн</t>
    </r>
    <r>
      <rPr>
        <sz val="10"/>
        <rFont val="Calibri"/>
        <family val="2"/>
        <charset val="204"/>
      </rPr>
      <t xml:space="preserve">. - ремонт вхідної групи (безбарєрне середовище) ; </t>
    </r>
    <r>
      <rPr>
        <b/>
        <sz val="10"/>
        <rFont val="Calibri"/>
        <family val="2"/>
        <charset val="204"/>
      </rPr>
      <t>2292,0тис.гр</t>
    </r>
    <r>
      <rPr>
        <sz val="10"/>
        <rFont val="Calibri"/>
        <family val="2"/>
        <charset val="204"/>
      </rPr>
      <t>н. - поточний ремонт покрівлі;</t>
    </r>
    <r>
      <rPr>
        <b/>
        <sz val="10"/>
        <rFont val="Calibri"/>
        <family val="2"/>
        <charset val="204"/>
      </rPr>
      <t>2080,0тис.грн</t>
    </r>
    <r>
      <rPr>
        <sz val="10"/>
        <rFont val="Calibri"/>
        <family val="2"/>
        <charset val="204"/>
      </rPr>
      <t xml:space="preserve"> - ремонт пралень і харчоблоків; </t>
    </r>
    <r>
      <rPr>
        <b/>
        <sz val="10"/>
        <rFont val="Calibri"/>
        <family val="2"/>
        <charset val="204"/>
      </rPr>
      <t xml:space="preserve">385,49 </t>
    </r>
    <r>
      <rPr>
        <sz val="10"/>
        <rFont val="Calibri"/>
        <family val="2"/>
        <charset val="204"/>
      </rPr>
      <t xml:space="preserve">-Громпроєкт, </t>
    </r>
  </si>
  <si>
    <t>обладнання для ІРЦ №7 вул. Вишгородська</t>
  </si>
  <si>
    <r>
      <t>капітальні ремонти у закладах і установах управління освіти, з них :</t>
    </r>
    <r>
      <rPr>
        <b/>
        <sz val="11"/>
        <color indexed="8"/>
        <rFont val="Times New Roman"/>
        <family val="1"/>
        <charset val="204"/>
      </rPr>
      <t>10120,0тис.грн - капремонт укриттів; 5000,0тис.грн фасад ДДЗ №435; 4880,0тис.грн - ІРЦ №7</t>
    </r>
  </si>
  <si>
    <t xml:space="preserve">Освіта власні надходження </t>
  </si>
  <si>
    <t>Соціальний захист  та соціальне забезпечення  (КПКВ 3111,3121,3123,3210,3242) крім житла</t>
  </si>
  <si>
    <t>додаткова заробітна плата для 96штатних одиниць Центру реабілітації (з 33шт. одиниць до 129штатних одиниць)</t>
  </si>
  <si>
    <t>3111, 3123, 3242, 3210</t>
  </si>
  <si>
    <t>інші захищені видатки</t>
  </si>
  <si>
    <t xml:space="preserve"> проведення заходів  85,0тис.грн(квіти для покладання, флагштоки)</t>
  </si>
  <si>
    <t>137,8 60,0 100,0 26,9</t>
  </si>
  <si>
    <t>по КПКВ 4613105 (Центр комплексної  реабілітації)</t>
  </si>
  <si>
    <t>медикаменти</t>
  </si>
  <si>
    <t>харчування</t>
  </si>
  <si>
    <t>будівництво, придбання житла (СУБВЕНЦІЯ (3221, 3222, 3223)</t>
  </si>
  <si>
    <t xml:space="preserve">обладнання Центру Реабілітації </t>
  </si>
  <si>
    <t xml:space="preserve">обладнання новоствореної установи Центру Реабілітації </t>
  </si>
  <si>
    <t>Соціальні програми з питань сім"ї, дітей та молоді (КПКВ 3132,3133)</t>
  </si>
  <si>
    <t>Соціальні програми  з питань сім"ї, дітей та молоді (без власних надходжень бюджетних установ)</t>
  </si>
  <si>
    <t xml:space="preserve">інші видатки </t>
  </si>
  <si>
    <t>власні надходження</t>
  </si>
  <si>
    <t>Житлово-комунальне господарство</t>
  </si>
  <si>
    <t>компенсація за генератори</t>
  </si>
  <si>
    <t>БЛАГОУСТРІЙ  (загальний фонд)</t>
  </si>
  <si>
    <t xml:space="preserve">Поділ Благоустрій </t>
  </si>
  <si>
    <t xml:space="preserve">поточні видатки на утримання міжквартальних проїздів КП Керуюча </t>
  </si>
  <si>
    <t>благоустрій прибудинкової території по вул Ярославській (ГБ який набрав мінімальну кількість голосів)</t>
  </si>
  <si>
    <t>Асфальтування прибудинкових  територій та міжквартальні проїзди</t>
  </si>
  <si>
    <t>міжквартальні проїзди</t>
  </si>
  <si>
    <t>капремонт ліфтів на умовах співфінансування (ліфти)</t>
  </si>
  <si>
    <t>капремонт ліфтів на умовах співфінансування</t>
  </si>
  <si>
    <t>капремонти на умовах співфінан-сування (загальнобудівельні роботи)</t>
  </si>
  <si>
    <t>ремонти на умовах співфінансування</t>
  </si>
  <si>
    <t>капремонти 100% бюджет (загальнобудівельні роботи)</t>
  </si>
  <si>
    <t>11759,0 тис.грн покрівлі; 14621,0 тис.грн.-  інженерні мережі</t>
  </si>
  <si>
    <t>Капітальний ремонт приміщень сховищ цивільного захисту</t>
  </si>
  <si>
    <t>ремонт підвальних приміщень , які використовуються як найпростіші укриття</t>
  </si>
  <si>
    <t>Капітальний ремонт підвальних приміщень</t>
  </si>
  <si>
    <t>Поповнення статутного фонду КП "Шкільне харчування"</t>
  </si>
  <si>
    <t>Культура і мистецтво</t>
  </si>
  <si>
    <t>Культура і мистецтво(без власних надходжень)</t>
  </si>
  <si>
    <t xml:space="preserve">інші видатки, у тому числі заходи </t>
  </si>
  <si>
    <r>
      <t xml:space="preserve">капітальні видатки обладнання </t>
    </r>
    <r>
      <rPr>
        <sz val="10"/>
        <rFont val="Times New Roman"/>
        <family val="1"/>
        <charset val="204"/>
      </rPr>
      <t>(власні)</t>
    </r>
  </si>
  <si>
    <t xml:space="preserve">власні надходження </t>
  </si>
  <si>
    <t xml:space="preserve">Фізична культура і спорт </t>
  </si>
  <si>
    <t>Фізична культура і спорт(без власних надходжень)</t>
  </si>
  <si>
    <t>всього по галузі  без врахування ГБ та власних надходжень</t>
  </si>
  <si>
    <t>КАПІТАЛЬНІ ВКЛАДЕННЯ (БУДІВНИЦТВО І РЕКОНСТРУКЦІЯ)</t>
  </si>
  <si>
    <r>
      <rPr>
        <b/>
        <sz val="9"/>
        <rFont val="Calibri"/>
        <family val="2"/>
        <charset val="204"/>
      </rPr>
      <t>8010,003тис.грн</t>
    </r>
    <r>
      <rPr>
        <sz val="9"/>
        <rFont val="Calibri"/>
        <family val="2"/>
        <charset val="204"/>
      </rPr>
      <t xml:space="preserve">   на пусковий об’єкт - реконструкція будівлі на проспекті Правди,4 для функціонування Центру комплексної реабілітації  для осіб з інвалідністю у Подільському районі ;</t>
    </r>
    <r>
      <rPr>
        <b/>
        <sz val="9"/>
        <rFont val="Calibri"/>
        <family val="2"/>
        <charset val="204"/>
      </rPr>
      <t xml:space="preserve"> 50000,00тис.грн. -</t>
    </r>
    <r>
      <rPr>
        <sz val="9"/>
        <rFont val="Calibri"/>
        <family val="2"/>
        <charset val="204"/>
      </rPr>
      <t xml:space="preserve"> на реконструкцію сш№242, Проспект Правди64Г;</t>
    </r>
    <r>
      <rPr>
        <b/>
        <sz val="9"/>
        <rFont val="Calibri"/>
        <family val="2"/>
        <charset val="204"/>
      </rPr>
      <t xml:space="preserve"> 2000,0 - виготовлення проєкту ДНЗ №600 .</t>
    </r>
    <r>
      <rPr>
        <sz val="9"/>
        <rFont val="Calibri"/>
        <family val="2"/>
        <charset val="204"/>
      </rPr>
      <t xml:space="preserve">
</t>
    </r>
  </si>
  <si>
    <t xml:space="preserve">Реконструкція будівлі на пр.Правди,4 для Центру комплексної реабілітації </t>
  </si>
  <si>
    <t>Будівництво укриттів у закладах освіти</t>
  </si>
  <si>
    <t>Всього загальний + спеціальний фонд  (міські кошти) + власні надходження установ</t>
  </si>
  <si>
    <t>в тому числі:</t>
  </si>
  <si>
    <t xml:space="preserve">громадський бюджет </t>
  </si>
  <si>
    <t>в тому числі власні надходження</t>
  </si>
  <si>
    <t>Разом загальний і спеціальний  (без урахування  власних надходжень)</t>
  </si>
  <si>
    <t xml:space="preserve">у тому числі </t>
  </si>
  <si>
    <t>загальний фонд</t>
  </si>
  <si>
    <t>у тому числі :</t>
  </si>
  <si>
    <t xml:space="preserve">зп приватні школи </t>
  </si>
  <si>
    <t>інші поточні видатки (крім ЖКГ)</t>
  </si>
  <si>
    <t>інші поточні видатки житлово-комунальне</t>
  </si>
  <si>
    <t>інші захищені видатки (соцзахист)</t>
  </si>
  <si>
    <t>бюджет розвитку (всього)</t>
  </si>
  <si>
    <t>капітальний  ремонт</t>
  </si>
  <si>
    <t>будівництво та реконструкція</t>
  </si>
  <si>
    <t>компенсація за генератори, СТАТ.ФОНДИ</t>
  </si>
  <si>
    <t xml:space="preserve">субвенція на придбання житла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</si>
</sst>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0.000"/>
    <numFmt numFmtId="166" formatCode="0.0"/>
    <numFmt numFmtId="167" formatCode="#,##0.0"/>
    <numFmt numFmtId="168" formatCode="_-* #,##0.00_р_._-;\-* #,##0.00_р_._-;_-* &quot;-&quot;??_р_._-;_-@_-"/>
  </numFmts>
  <fonts count="43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4"/>
      <color indexed="10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i/>
      <sz val="14"/>
      <color rgb="FFFF0000"/>
      <name val="Times New Roman"/>
      <family val="1"/>
      <charset val="204"/>
    </font>
    <font>
      <i/>
      <sz val="11"/>
      <color indexed="10"/>
      <name val="Calibri"/>
      <family val="2"/>
      <charset val="204"/>
    </font>
    <font>
      <b/>
      <i/>
      <sz val="12"/>
      <name val="Times New Roman"/>
      <family val="1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b/>
      <i/>
      <sz val="14"/>
      <color indexed="10"/>
      <name val="Times New Roman"/>
      <family val="1"/>
      <charset val="204"/>
    </font>
    <font>
      <sz val="14"/>
      <color indexed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8" fontId="30" fillId="0" borderId="0" applyFont="0" applyFill="0" applyBorder="0" applyAlignment="0" applyProtection="0"/>
  </cellStyleXfs>
  <cellXfs count="146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right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1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49" fontId="3" fillId="2" borderId="2" xfId="0" applyNumberFormat="1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0" xfId="0" applyFont="1" applyFill="1"/>
    <xf numFmtId="49" fontId="10" fillId="0" borderId="2" xfId="0" applyNumberFormat="1" applyFont="1" applyFill="1" applyBorder="1" applyAlignment="1">
      <alignment horizontal="left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justify"/>
    </xf>
    <xf numFmtId="0" fontId="16" fillId="0" borderId="2" xfId="0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2" fontId="8" fillId="0" borderId="0" xfId="0" applyNumberFormat="1" applyFont="1"/>
    <xf numFmtId="164" fontId="17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/>
    </xf>
    <xf numFmtId="0" fontId="18" fillId="0" borderId="0" xfId="0" applyFont="1"/>
    <xf numFmtId="164" fontId="1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/>
    <xf numFmtId="166" fontId="19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7" fontId="1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left" vertical="center" wrapText="1"/>
    </xf>
    <xf numFmtId="2" fontId="28" fillId="2" borderId="2" xfId="0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164" fontId="19" fillId="2" borderId="2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right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168" fontId="3" fillId="2" borderId="2" xfId="1" applyFont="1" applyFill="1" applyBorder="1" applyAlignment="1">
      <alignment horizontal="left" vertical="center" wrapText="1"/>
    </xf>
    <xf numFmtId="0" fontId="22" fillId="0" borderId="0" xfId="0" applyFont="1"/>
    <xf numFmtId="0" fontId="25" fillId="0" borderId="2" xfId="0" applyFont="1" applyBorder="1" applyAlignment="1">
      <alignment horizontal="left" vertical="center" wrapText="1"/>
    </xf>
    <xf numFmtId="0" fontId="19" fillId="0" borderId="0" xfId="0" applyFont="1"/>
    <xf numFmtId="0" fontId="31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left" vertical="center" wrapText="1"/>
    </xf>
    <xf numFmtId="49" fontId="28" fillId="0" borderId="2" xfId="0" applyNumberFormat="1" applyFont="1" applyFill="1" applyBorder="1" applyAlignment="1">
      <alignment horizontal="left" vertical="center" wrapText="1"/>
    </xf>
    <xf numFmtId="2" fontId="28" fillId="0" borderId="2" xfId="0" applyNumberFormat="1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164" fontId="32" fillId="0" borderId="2" xfId="0" applyNumberFormat="1" applyFont="1" applyFill="1" applyBorder="1" applyAlignment="1">
      <alignment horizontal="center" vertical="center" wrapText="1"/>
    </xf>
    <xf numFmtId="167" fontId="28" fillId="0" borderId="2" xfId="0" applyNumberFormat="1" applyFont="1" applyFill="1" applyBorder="1" applyAlignment="1">
      <alignment horizontal="center" vertical="center" wrapText="1"/>
    </xf>
    <xf numFmtId="0" fontId="33" fillId="0" borderId="0" xfId="0" applyFont="1"/>
    <xf numFmtId="164" fontId="20" fillId="0" borderId="5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0" fillId="0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49" fontId="34" fillId="4" borderId="2" xfId="0" applyNumberFormat="1" applyFont="1" applyFill="1" applyBorder="1" applyAlignment="1">
      <alignment horizontal="left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7" fontId="3" fillId="4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2" fontId="12" fillId="0" borderId="0" xfId="0" applyNumberFormat="1" applyFont="1" applyFill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164" fontId="37" fillId="5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7" fontId="8" fillId="0" borderId="0" xfId="0" applyNumberFormat="1" applyFont="1"/>
    <xf numFmtId="167" fontId="10" fillId="0" borderId="2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3" fillId="3" borderId="2" xfId="0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7" fontId="4" fillId="3" borderId="2" xfId="0" applyNumberFormat="1" applyFont="1" applyFill="1" applyBorder="1" applyAlignment="1">
      <alignment horizontal="center" vertical="center" wrapText="1"/>
    </xf>
    <xf numFmtId="164" fontId="38" fillId="3" borderId="2" xfId="0" applyNumberFormat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164" fontId="18" fillId="0" borderId="0" xfId="0" applyNumberFormat="1" applyFont="1"/>
    <xf numFmtId="164" fontId="18" fillId="0" borderId="2" xfId="0" applyNumberFormat="1" applyFont="1" applyBorder="1"/>
    <xf numFmtId="164" fontId="19" fillId="0" borderId="0" xfId="0" applyNumberFormat="1" applyFont="1"/>
    <xf numFmtId="167" fontId="18" fillId="0" borderId="0" xfId="0" applyNumberFormat="1" applyFont="1"/>
    <xf numFmtId="0" fontId="40" fillId="0" borderId="0" xfId="0" applyFont="1"/>
    <xf numFmtId="0" fontId="3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2" fontId="41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/>
    <xf numFmtId="164" fontId="18" fillId="0" borderId="0" xfId="0" applyNumberFormat="1" applyFont="1" applyFill="1"/>
    <xf numFmtId="49" fontId="3" fillId="6" borderId="2" xfId="0" applyNumberFormat="1" applyFont="1" applyFill="1" applyBorder="1" applyAlignment="1">
      <alignment horizontal="left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4" fillId="0" borderId="2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13" fillId="0" borderId="0" xfId="0" applyFont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86;&#1079;&#1087;&#1086;&#1076;&#1110;&#1083;%20&#1043;&#1088;&#1072;&#1085;&#1080;&#1095;&#1085;&#1086;&#1075;&#1086;%20&#1085;&#1072;%202024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зподіл граничного"/>
      <sheetName val="розподіл граничного (довед дф)"/>
      <sheetName val="Прогноз  на 2022 рік "/>
      <sheetName val="Проєкт на 2024 скорочено"/>
      <sheetName val="Проєкт на 2024 для депутат"/>
      <sheetName val="Проєкт на 2024 з додатковими "/>
    </sheetNames>
    <sheetDataSet>
      <sheetData sheetId="0"/>
      <sheetData sheetId="1"/>
      <sheetData sheetId="2"/>
      <sheetData sheetId="3"/>
      <sheetData sheetId="4">
        <row r="3">
          <cell r="J3" t="str">
            <v xml:space="preserve">Темп росту граничного показника до уточненого плану на 01.10.2023% 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view="pageBreakPreview" zoomScale="75" zoomScaleNormal="75" zoomScaleSheetLayoutView="75" workbookViewId="0">
      <selection activeCell="C3" sqref="C3"/>
    </sheetView>
  </sheetViews>
  <sheetFormatPr defaultRowHeight="15" x14ac:dyDescent="0.25"/>
  <cols>
    <col min="1" max="1" width="48.140625" style="10" customWidth="1"/>
    <col min="2" max="2" width="0.28515625" style="10" customWidth="1"/>
    <col min="3" max="3" width="25.28515625" style="10" customWidth="1"/>
    <col min="4" max="4" width="22.140625" style="10" hidden="1" customWidth="1"/>
    <col min="5" max="5" width="16.5703125" style="10" hidden="1" customWidth="1"/>
    <col min="6" max="6" width="22.5703125" style="10" hidden="1" customWidth="1"/>
    <col min="7" max="7" width="24.7109375" style="10" customWidth="1"/>
    <col min="8" max="8" width="26.28515625" style="10" hidden="1" customWidth="1"/>
    <col min="9" max="9" width="21.5703125" style="10" customWidth="1"/>
    <col min="10" max="10" width="15.28515625" style="10" customWidth="1"/>
    <col min="11" max="11" width="16.140625" style="10" hidden="1" customWidth="1"/>
    <col min="12" max="12" width="0.42578125" style="10" hidden="1" customWidth="1"/>
    <col min="13" max="13" width="5" style="10" hidden="1" customWidth="1"/>
    <col min="14" max="14" width="9.140625" style="10"/>
    <col min="15" max="15" width="24.7109375" style="10" customWidth="1"/>
    <col min="16" max="16" width="31.85546875" style="10" customWidth="1"/>
    <col min="17" max="16384" width="9.140625" style="10"/>
  </cols>
  <sheetData>
    <row r="1" spans="1:13" s="2" customFormat="1" ht="62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26.25" customHeight="1" x14ac:dyDescent="0.3">
      <c r="A2" s="3"/>
      <c r="B2" s="3"/>
      <c r="C2" s="3"/>
      <c r="D2" s="3"/>
      <c r="E2" s="3"/>
      <c r="F2" s="3"/>
      <c r="G2" s="3"/>
      <c r="H2" s="3"/>
      <c r="I2" s="4" t="s">
        <v>1</v>
      </c>
      <c r="J2" s="3"/>
      <c r="K2" s="3" t="s">
        <v>1</v>
      </c>
      <c r="L2" s="3"/>
      <c r="M2" s="3"/>
    </row>
    <row r="3" spans="1:13" ht="149.25" customHeight="1" x14ac:dyDescent="0.25">
      <c r="A3" s="5" t="s">
        <v>2</v>
      </c>
      <c r="B3" s="5" t="s">
        <v>3</v>
      </c>
      <c r="C3" s="6" t="s">
        <v>4</v>
      </c>
      <c r="D3" s="7" t="s">
        <v>5</v>
      </c>
      <c r="E3" s="7" t="s">
        <v>5</v>
      </c>
      <c r="F3" s="7" t="s">
        <v>5</v>
      </c>
      <c r="G3" s="6" t="s">
        <v>6</v>
      </c>
      <c r="H3" s="8" t="s">
        <v>7</v>
      </c>
      <c r="I3" s="6" t="s">
        <v>8</v>
      </c>
      <c r="J3" s="6" t="str">
        <f>'[1]Проєкт на 2024 для депутат'!$J$3</f>
        <v xml:space="preserve">Темп росту граничного показника до уточненого плану на 01.10.2023% </v>
      </c>
      <c r="K3" s="6" t="s">
        <v>9</v>
      </c>
      <c r="L3" s="9" t="s">
        <v>10</v>
      </c>
      <c r="M3" s="9" t="s">
        <v>11</v>
      </c>
    </row>
    <row r="4" spans="1:13" ht="1.5" hidden="1" customHeight="1" x14ac:dyDescent="0.3">
      <c r="A4" s="11" t="s">
        <v>12</v>
      </c>
      <c r="B4" s="12"/>
      <c r="C4" s="12"/>
      <c r="D4" s="12"/>
      <c r="E4" s="13"/>
      <c r="F4" s="13"/>
      <c r="G4" s="13"/>
      <c r="H4" s="13"/>
      <c r="I4" s="13"/>
      <c r="J4" s="13"/>
      <c r="K4" s="13"/>
    </row>
    <row r="5" spans="1:13" ht="26.45" customHeight="1" x14ac:dyDescent="0.25">
      <c r="A5" s="14">
        <v>1</v>
      </c>
      <c r="B5" s="14">
        <v>1</v>
      </c>
      <c r="C5" s="14">
        <v>2</v>
      </c>
      <c r="D5" s="14">
        <v>1</v>
      </c>
      <c r="E5" s="14">
        <v>1</v>
      </c>
      <c r="F5" s="14">
        <v>1</v>
      </c>
      <c r="G5" s="14">
        <v>4</v>
      </c>
      <c r="H5" s="14"/>
      <c r="I5" s="14"/>
      <c r="J5" s="14">
        <v>5</v>
      </c>
      <c r="K5" s="14">
        <v>6</v>
      </c>
      <c r="L5" s="15"/>
      <c r="M5" s="15"/>
    </row>
    <row r="6" spans="1:13" ht="36.75" customHeight="1" x14ac:dyDescent="0.25">
      <c r="A6" s="16" t="s">
        <v>13</v>
      </c>
      <c r="B6" s="17">
        <v>53916.399999999994</v>
      </c>
      <c r="C6" s="18">
        <f>C8+C9+C10+C11+C12+C13</f>
        <v>111048.41499999999</v>
      </c>
      <c r="D6" s="18">
        <f>D8+D9+D10+D11+D12+D13</f>
        <v>104487.97600000001</v>
      </c>
      <c r="E6" s="19">
        <v>102759.55100000001</v>
      </c>
      <c r="F6" s="20">
        <f>D6/C6*100</f>
        <v>94.092271375507721</v>
      </c>
      <c r="G6" s="18">
        <f>G8+G9+G10+G11+G12+G13</f>
        <v>73118.004000000001</v>
      </c>
      <c r="H6" s="18">
        <f>H8+H9+H10+H11+H12+H13</f>
        <v>0</v>
      </c>
      <c r="I6" s="18">
        <f>G6-C6</f>
        <v>-37930.410999999993</v>
      </c>
      <c r="J6" s="21">
        <f>G6/C6*100</f>
        <v>65.843356701669279</v>
      </c>
      <c r="K6" s="22" t="e">
        <f>G6/#REF!*100</f>
        <v>#REF!</v>
      </c>
      <c r="L6" s="23">
        <f>L8+L9+L10+L11+L12+L13</f>
        <v>3596.6</v>
      </c>
      <c r="M6" s="24"/>
    </row>
    <row r="7" spans="1:13" ht="39" customHeight="1" x14ac:dyDescent="0.3">
      <c r="A7" s="16" t="s">
        <v>14</v>
      </c>
      <c r="B7" s="17"/>
      <c r="C7" s="18">
        <f>C6-C13</f>
        <v>110826.128</v>
      </c>
      <c r="D7" s="18">
        <f>D6-D13</f>
        <v>104273.17600000001</v>
      </c>
      <c r="E7" s="25"/>
      <c r="F7" s="20">
        <f>D7/C7*100</f>
        <v>94.08717770957405</v>
      </c>
      <c r="G7" s="18">
        <f>G6-G13</f>
        <v>73118.004000000001</v>
      </c>
      <c r="H7" s="18">
        <f>H8+H9+H10</f>
        <v>0</v>
      </c>
      <c r="I7" s="18">
        <f>G7-C7</f>
        <v>-37708.123999999996</v>
      </c>
      <c r="J7" s="21">
        <f t="shared" ref="J7:J13" si="0">G7/C7*100</f>
        <v>65.975420525383683</v>
      </c>
      <c r="K7" s="22" t="e">
        <f>G7/#REF!*100</f>
        <v>#REF!</v>
      </c>
      <c r="L7" s="23">
        <f>L6-L13</f>
        <v>3596.6</v>
      </c>
      <c r="M7" s="24"/>
    </row>
    <row r="8" spans="1:13" ht="22.5" customHeight="1" x14ac:dyDescent="0.3">
      <c r="A8" s="26" t="s">
        <v>15</v>
      </c>
      <c r="B8" s="27"/>
      <c r="C8" s="28">
        <v>96609.25</v>
      </c>
      <c r="D8" s="28">
        <v>96609.25</v>
      </c>
      <c r="E8" s="13"/>
      <c r="F8" s="29">
        <f>D8/C8*100</f>
        <v>100</v>
      </c>
      <c r="G8" s="28">
        <f>53371.549+11741.741</f>
        <v>65113.29</v>
      </c>
      <c r="H8" s="28"/>
      <c r="I8" s="30">
        <f t="shared" ref="I8:I13" si="1">G8-C8</f>
        <v>-31495.96</v>
      </c>
      <c r="J8" s="31">
        <f t="shared" si="0"/>
        <v>67.39860831131594</v>
      </c>
      <c r="K8" s="22" t="e">
        <f>G8/#REF!*100</f>
        <v>#REF!</v>
      </c>
      <c r="L8" s="32"/>
      <c r="M8" s="33"/>
    </row>
    <row r="9" spans="1:13" ht="22.5" customHeight="1" x14ac:dyDescent="0.3">
      <c r="A9" s="26" t="s">
        <v>16</v>
      </c>
      <c r="B9" s="27"/>
      <c r="C9" s="28">
        <v>3256.3</v>
      </c>
      <c r="D9" s="28">
        <v>3256.3</v>
      </c>
      <c r="E9" s="28">
        <v>3256.3</v>
      </c>
      <c r="F9" s="28">
        <v>3256.3</v>
      </c>
      <c r="G9" s="28">
        <v>3663.3380000000002</v>
      </c>
      <c r="H9" s="28"/>
      <c r="I9" s="30">
        <f t="shared" si="1"/>
        <v>407.03800000000001</v>
      </c>
      <c r="J9" s="31">
        <f t="shared" si="0"/>
        <v>112.50001535485059</v>
      </c>
      <c r="K9" s="22" t="e">
        <f>G9/#REF!*100</f>
        <v>#REF!</v>
      </c>
      <c r="L9" s="34"/>
      <c r="M9" s="35"/>
    </row>
    <row r="10" spans="1:13" ht="22.5" customHeight="1" x14ac:dyDescent="0.3">
      <c r="A10" s="26" t="s">
        <v>17</v>
      </c>
      <c r="B10" s="27"/>
      <c r="C10" s="28">
        <v>5518.6760000000004</v>
      </c>
      <c r="D10" s="28">
        <v>4407.6260000000002</v>
      </c>
      <c r="E10" s="13"/>
      <c r="F10" s="29">
        <f>D10/C10*100</f>
        <v>79.867453715347665</v>
      </c>
      <c r="G10" s="28">
        <v>4341.3760000000002</v>
      </c>
      <c r="H10" s="28">
        <v>0</v>
      </c>
      <c r="I10" s="30">
        <f t="shared" si="1"/>
        <v>-1177.3000000000002</v>
      </c>
      <c r="J10" s="31">
        <f t="shared" si="0"/>
        <v>78.666984617324871</v>
      </c>
      <c r="K10" s="22" t="e">
        <f>G10/#REF!*100</f>
        <v>#REF!</v>
      </c>
      <c r="L10" s="32">
        <f>844+538.1</f>
        <v>1382.1</v>
      </c>
      <c r="M10" s="36" t="s">
        <v>18</v>
      </c>
    </row>
    <row r="11" spans="1:13" ht="22.5" customHeight="1" x14ac:dyDescent="0.3">
      <c r="A11" s="37" t="s">
        <v>19</v>
      </c>
      <c r="B11" s="27"/>
      <c r="C11" s="30">
        <v>3607.0250000000001</v>
      </c>
      <c r="D11" s="28">
        <v>0</v>
      </c>
      <c r="E11" s="38">
        <f>C10+C11</f>
        <v>9125.7010000000009</v>
      </c>
      <c r="F11" s="29"/>
      <c r="G11" s="39"/>
      <c r="H11" s="28">
        <v>0</v>
      </c>
      <c r="I11" s="30">
        <f t="shared" si="1"/>
        <v>-3607.0250000000001</v>
      </c>
      <c r="J11" s="31">
        <f t="shared" si="0"/>
        <v>0</v>
      </c>
      <c r="K11" s="22"/>
      <c r="L11" s="40">
        <v>369.5</v>
      </c>
      <c r="M11" s="24"/>
    </row>
    <row r="12" spans="1:13" ht="22.5" customHeight="1" x14ac:dyDescent="0.3">
      <c r="A12" s="37" t="s">
        <v>20</v>
      </c>
      <c r="B12" s="27"/>
      <c r="C12" s="30">
        <v>1834.877</v>
      </c>
      <c r="D12" s="30">
        <v>0</v>
      </c>
      <c r="E12" s="41"/>
      <c r="F12" s="29">
        <f>D12/C12*100</f>
        <v>0</v>
      </c>
      <c r="G12" s="42"/>
      <c r="H12" s="42"/>
      <c r="I12" s="30">
        <f t="shared" si="1"/>
        <v>-1834.877</v>
      </c>
      <c r="J12" s="31">
        <f t="shared" si="0"/>
        <v>0</v>
      </c>
      <c r="K12" s="22"/>
      <c r="L12" s="43">
        <v>1845</v>
      </c>
      <c r="M12" s="44"/>
    </row>
    <row r="13" spans="1:13" ht="22.5" customHeight="1" x14ac:dyDescent="0.3">
      <c r="A13" s="37" t="s">
        <v>21</v>
      </c>
      <c r="B13" s="45"/>
      <c r="C13" s="46">
        <v>222.28700000000001</v>
      </c>
      <c r="D13" s="42">
        <v>214.8</v>
      </c>
      <c r="E13" s="47"/>
      <c r="F13" s="48"/>
      <c r="G13" s="30">
        <v>0</v>
      </c>
      <c r="H13" s="30">
        <v>0</v>
      </c>
      <c r="I13" s="30">
        <f t="shared" si="1"/>
        <v>-222.28700000000001</v>
      </c>
      <c r="J13" s="31">
        <f t="shared" si="0"/>
        <v>0</v>
      </c>
      <c r="K13" s="22"/>
      <c r="L13" s="49"/>
      <c r="M13" s="50"/>
    </row>
    <row r="14" spans="1:13" ht="30.75" customHeight="1" x14ac:dyDescent="0.3">
      <c r="A14" s="16" t="s">
        <v>22</v>
      </c>
      <c r="B14" s="17">
        <v>665188.5</v>
      </c>
      <c r="C14" s="18">
        <f>C15+C27</f>
        <v>1720565.7929999998</v>
      </c>
      <c r="D14" s="18">
        <f>D15+D27</f>
        <v>1735270.3</v>
      </c>
      <c r="E14" s="13"/>
      <c r="F14" s="20">
        <f>D14/C14*100</f>
        <v>100.85463206695289</v>
      </c>
      <c r="G14" s="18">
        <f>G15+G27</f>
        <v>1675511.5300000003</v>
      </c>
      <c r="H14" s="18">
        <f>H15+H27</f>
        <v>0</v>
      </c>
      <c r="I14" s="18">
        <f>I15+I27</f>
        <v>-45054.262999999613</v>
      </c>
      <c r="J14" s="21">
        <f>G14/C14*100</f>
        <v>97.381427482558365</v>
      </c>
      <c r="K14" s="22" t="e">
        <f>G14/#REF!*100</f>
        <v>#REF!</v>
      </c>
      <c r="L14" s="51">
        <f>L15+L27</f>
        <v>19053.137999999999</v>
      </c>
      <c r="M14" s="24"/>
    </row>
    <row r="15" spans="1:13" ht="57" customHeight="1" x14ac:dyDescent="0.3">
      <c r="A15" s="16" t="s">
        <v>23</v>
      </c>
      <c r="B15" s="17"/>
      <c r="C15" s="18">
        <f>C16+C22+C24+C25+C26+C20</f>
        <v>1647647.3809999998</v>
      </c>
      <c r="D15" s="18">
        <f>D16+D22+D24+D25+D26</f>
        <v>1643745.5</v>
      </c>
      <c r="E15" s="13"/>
      <c r="F15" s="20">
        <f>D15/C15*100</f>
        <v>99.763184705356579</v>
      </c>
      <c r="G15" s="18">
        <f>G16+G20+G22+G24+G25+G26</f>
        <v>1584098.4600000002</v>
      </c>
      <c r="H15" s="18">
        <f>H16+H22+H24+H20+H25+H26</f>
        <v>0</v>
      </c>
      <c r="I15" s="18">
        <f>G15:G15-C15</f>
        <v>-63548.920999999624</v>
      </c>
      <c r="J15" s="21">
        <f t="shared" ref="J15:J39" si="2">G15/C15*100</f>
        <v>96.143050889843309</v>
      </c>
      <c r="K15" s="22" t="e">
        <f>G15/#REF!*100</f>
        <v>#REF!</v>
      </c>
      <c r="L15" s="51">
        <f>L16+L22+L24+L25+L26</f>
        <v>19053.137999999999</v>
      </c>
      <c r="M15" s="24"/>
    </row>
    <row r="16" spans="1:13" ht="24.75" customHeight="1" x14ac:dyDescent="0.25">
      <c r="A16" s="26" t="s">
        <v>15</v>
      </c>
      <c r="B16" s="27"/>
      <c r="C16" s="28">
        <f>980005.127+215601.072-C20:F20</f>
        <v>1162195.0430000001</v>
      </c>
      <c r="D16" s="28">
        <v>1264242.7</v>
      </c>
      <c r="E16" s="28">
        <v>1264242.7</v>
      </c>
      <c r="F16" s="28">
        <v>1264242.7</v>
      </c>
      <c r="G16" s="28">
        <f>997718.902+219498.057-G20</f>
        <v>1183805.8030000001</v>
      </c>
      <c r="H16" s="28"/>
      <c r="I16" s="52">
        <f>G16-C16</f>
        <v>21610.760000000009</v>
      </c>
      <c r="J16" s="53">
        <f t="shared" si="2"/>
        <v>101.85947790176557</v>
      </c>
      <c r="K16" s="22" t="e">
        <f>G16/#REF!*100</f>
        <v>#REF!</v>
      </c>
      <c r="L16" s="54"/>
      <c r="M16" s="24"/>
    </row>
    <row r="17" spans="1:16" ht="13.5" customHeight="1" x14ac:dyDescent="0.25">
      <c r="A17" s="26" t="s">
        <v>24</v>
      </c>
      <c r="B17" s="27"/>
      <c r="C17" s="28"/>
      <c r="D17" s="28"/>
      <c r="E17" s="28"/>
      <c r="F17" s="28"/>
      <c r="G17" s="28"/>
      <c r="H17" s="28"/>
      <c r="I17" s="52"/>
      <c r="J17" s="53"/>
      <c r="K17" s="22"/>
      <c r="L17" s="54"/>
      <c r="M17" s="24"/>
    </row>
    <row r="18" spans="1:16" ht="24.75" customHeight="1" x14ac:dyDescent="0.25">
      <c r="A18" s="26" t="s">
        <v>25</v>
      </c>
      <c r="B18" s="27"/>
      <c r="C18" s="28">
        <v>832577.19900000002</v>
      </c>
      <c r="D18" s="28"/>
      <c r="E18" s="28"/>
      <c r="F18" s="28"/>
      <c r="G18" s="28">
        <v>854187.95900000003</v>
      </c>
      <c r="H18" s="28"/>
      <c r="I18" s="52">
        <f t="shared" ref="I18:I25" si="3">G18-C18</f>
        <v>21610.760000000009</v>
      </c>
      <c r="J18" s="53">
        <f t="shared" si="2"/>
        <v>102.59564638882215</v>
      </c>
      <c r="K18" s="22" t="e">
        <f>G18/#REF!*100</f>
        <v>#REF!</v>
      </c>
      <c r="L18" s="54"/>
      <c r="M18" s="24"/>
    </row>
    <row r="19" spans="1:16" ht="24.75" customHeight="1" x14ac:dyDescent="0.25">
      <c r="A19" s="26" t="s">
        <v>26</v>
      </c>
      <c r="B19" s="27"/>
      <c r="C19" s="28">
        <f>318867.7+25029.3+16534.5+1351.1</f>
        <v>361782.6</v>
      </c>
      <c r="D19" s="28"/>
      <c r="E19" s="28"/>
      <c r="F19" s="28"/>
      <c r="G19" s="28">
        <v>361782.6</v>
      </c>
      <c r="H19" s="28"/>
      <c r="I19" s="52">
        <f t="shared" si="3"/>
        <v>0</v>
      </c>
      <c r="J19" s="53">
        <f t="shared" si="2"/>
        <v>100</v>
      </c>
      <c r="K19" s="22" t="e">
        <f>G19/#REF!*100</f>
        <v>#REF!</v>
      </c>
      <c r="L19" s="54"/>
      <c r="M19" s="24"/>
    </row>
    <row r="20" spans="1:16" ht="24.75" customHeight="1" x14ac:dyDescent="0.25">
      <c r="A20" s="26" t="s">
        <v>27</v>
      </c>
      <c r="B20" s="27"/>
      <c r="C20" s="28">
        <v>33411.156000000003</v>
      </c>
      <c r="D20" s="28"/>
      <c r="E20" s="28"/>
      <c r="F20" s="28"/>
      <c r="G20" s="28">
        <v>33411.156000000003</v>
      </c>
      <c r="H20" s="28"/>
      <c r="I20" s="52">
        <f t="shared" si="3"/>
        <v>0</v>
      </c>
      <c r="J20" s="53">
        <f t="shared" si="2"/>
        <v>100</v>
      </c>
      <c r="K20" s="22"/>
      <c r="L20" s="54"/>
      <c r="M20" s="24"/>
    </row>
    <row r="21" spans="1:16" ht="24.75" customHeight="1" x14ac:dyDescent="0.25">
      <c r="A21" s="26" t="s">
        <v>28</v>
      </c>
      <c r="B21" s="27"/>
      <c r="C21" s="28">
        <f>978.3+936.5-341.7</f>
        <v>1573.1</v>
      </c>
      <c r="D21" s="28"/>
      <c r="E21" s="28"/>
      <c r="F21" s="28"/>
      <c r="G21" s="28">
        <v>978.3</v>
      </c>
      <c r="H21" s="28"/>
      <c r="I21" s="52">
        <f>G21-C21</f>
        <v>-594.79999999999995</v>
      </c>
      <c r="J21" s="53">
        <f>G21/C21*100</f>
        <v>62.18930773631682</v>
      </c>
      <c r="K21" s="22" t="e">
        <f>G21/#REF!*100</f>
        <v>#REF!</v>
      </c>
      <c r="L21" s="54"/>
      <c r="M21" s="24"/>
    </row>
    <row r="22" spans="1:16" ht="24.75" customHeight="1" x14ac:dyDescent="0.25">
      <c r="A22" s="26" t="s">
        <v>16</v>
      </c>
      <c r="B22" s="27"/>
      <c r="C22" s="28">
        <v>158276</v>
      </c>
      <c r="D22" s="28">
        <f>126219</f>
        <v>126219</v>
      </c>
      <c r="E22" s="28">
        <f>126219</f>
        <v>126219</v>
      </c>
      <c r="F22" s="28">
        <f>126219</f>
        <v>126219</v>
      </c>
      <c r="G22" s="28">
        <v>178060.50200000001</v>
      </c>
      <c r="H22" s="28"/>
      <c r="I22" s="52">
        <f t="shared" si="3"/>
        <v>19784.502000000008</v>
      </c>
      <c r="J22" s="53">
        <f t="shared" si="2"/>
        <v>112.50000126361546</v>
      </c>
      <c r="K22" s="22" t="e">
        <f>G22/#REF!*100</f>
        <v>#REF!</v>
      </c>
      <c r="L22" s="54"/>
      <c r="M22" s="24"/>
    </row>
    <row r="23" spans="1:16" ht="24.75" hidden="1" customHeight="1" x14ac:dyDescent="0.25">
      <c r="A23" s="26" t="s">
        <v>29</v>
      </c>
      <c r="B23" s="27"/>
      <c r="C23" s="55">
        <v>26501.778999999999</v>
      </c>
      <c r="D23" s="55">
        <v>164004.5</v>
      </c>
      <c r="E23" s="55">
        <v>164004.5</v>
      </c>
      <c r="F23" s="55">
        <v>164004.5</v>
      </c>
      <c r="G23" s="55">
        <v>50286.453000000001</v>
      </c>
      <c r="H23" s="55"/>
      <c r="I23" s="52">
        <f>G23-C23</f>
        <v>23784.674000000003</v>
      </c>
      <c r="J23" s="53">
        <f>G23/C23*100</f>
        <v>189.74746185906992</v>
      </c>
      <c r="K23" s="22" t="e">
        <f>G23/#REF!*100</f>
        <v>#REF!</v>
      </c>
      <c r="L23" s="54"/>
      <c r="M23" s="56" t="s">
        <v>30</v>
      </c>
    </row>
    <row r="24" spans="1:16" ht="24.75" customHeight="1" x14ac:dyDescent="0.25">
      <c r="A24" s="26" t="s">
        <v>17</v>
      </c>
      <c r="B24" s="27"/>
      <c r="C24" s="55">
        <f>1879.498+24562.551+59.73+319.22+157711.38</f>
        <v>184532.37900000002</v>
      </c>
      <c r="D24" s="55">
        <v>164004.5</v>
      </c>
      <c r="E24" s="55">
        <v>164004.5</v>
      </c>
      <c r="F24" s="55">
        <v>164004.5</v>
      </c>
      <c r="G24" s="55">
        <f>138534.546+G23</f>
        <v>188820.99900000001</v>
      </c>
      <c r="H24" s="55"/>
      <c r="I24" s="52">
        <f t="shared" si="3"/>
        <v>4288.6199999999953</v>
      </c>
      <c r="J24" s="53">
        <f t="shared" si="2"/>
        <v>102.32404742367733</v>
      </c>
      <c r="K24" s="22" t="e">
        <f>G24/#REF!*100</f>
        <v>#REF!</v>
      </c>
      <c r="L24" s="54"/>
      <c r="M24" s="56" t="s">
        <v>30</v>
      </c>
    </row>
    <row r="25" spans="1:16" ht="22.5" customHeight="1" x14ac:dyDescent="0.3">
      <c r="A25" s="37" t="s">
        <v>19</v>
      </c>
      <c r="B25" s="27"/>
      <c r="C25" s="30">
        <v>2799.8530000000001</v>
      </c>
      <c r="D25" s="30">
        <v>0</v>
      </c>
      <c r="E25" s="41"/>
      <c r="F25" s="29">
        <f>D25/C25*100</f>
        <v>0</v>
      </c>
      <c r="G25" s="30"/>
      <c r="H25" s="30"/>
      <c r="I25" s="52">
        <f t="shared" si="3"/>
        <v>-2799.8530000000001</v>
      </c>
      <c r="J25" s="53">
        <f t="shared" si="2"/>
        <v>0</v>
      </c>
      <c r="K25" s="22" t="e">
        <f>G25/#REF!*100</f>
        <v>#REF!</v>
      </c>
      <c r="L25" s="43">
        <f>11428-7000.7+496.5</f>
        <v>4923.8</v>
      </c>
      <c r="M25" s="44" t="s">
        <v>31</v>
      </c>
    </row>
    <row r="26" spans="1:16" ht="22.5" customHeight="1" x14ac:dyDescent="0.25">
      <c r="A26" s="37" t="s">
        <v>20</v>
      </c>
      <c r="B26" s="57"/>
      <c r="C26" s="30">
        <v>106432.95</v>
      </c>
      <c r="D26" s="30">
        <v>89279.3</v>
      </c>
      <c r="E26" s="30">
        <v>89279.3</v>
      </c>
      <c r="F26" s="30">
        <v>89279.3</v>
      </c>
      <c r="G26" s="30"/>
      <c r="H26" s="30"/>
      <c r="I26" s="18">
        <f>G26-C26</f>
        <v>-106432.95</v>
      </c>
      <c r="J26" s="53">
        <f t="shared" si="2"/>
        <v>0</v>
      </c>
      <c r="K26" s="22" t="e">
        <f>G26/#REF!*100</f>
        <v>#REF!</v>
      </c>
      <c r="L26" s="43">
        <f>15650-1520.662</f>
        <v>14129.338</v>
      </c>
      <c r="M26" s="58" t="s">
        <v>32</v>
      </c>
    </row>
    <row r="27" spans="1:16" ht="22.5" customHeight="1" x14ac:dyDescent="0.3">
      <c r="A27" s="37" t="s">
        <v>33</v>
      </c>
      <c r="B27" s="57"/>
      <c r="C27" s="30">
        <v>72918.411999999997</v>
      </c>
      <c r="D27" s="30">
        <v>91524.800000000003</v>
      </c>
      <c r="E27" s="13"/>
      <c r="F27" s="29">
        <f t="shared" ref="F27:F32" si="4">D27/C27*100</f>
        <v>125.5167213460436</v>
      </c>
      <c r="G27" s="30">
        <v>91413.07</v>
      </c>
      <c r="H27" s="30"/>
      <c r="I27" s="18">
        <f>G27-C27</f>
        <v>18494.65800000001</v>
      </c>
      <c r="J27" s="53">
        <f t="shared" si="2"/>
        <v>125.36349529937654</v>
      </c>
      <c r="K27" s="22" t="e">
        <f>G27/#REF!*100</f>
        <v>#REF!</v>
      </c>
      <c r="L27" s="54"/>
      <c r="M27" s="24"/>
    </row>
    <row r="28" spans="1:16" ht="58.5" customHeight="1" x14ac:dyDescent="0.3">
      <c r="A28" s="16" t="s">
        <v>34</v>
      </c>
      <c r="B28" s="17">
        <v>12800.800000000001</v>
      </c>
      <c r="C28" s="18">
        <f>C29+C30+C31+C32+C33</f>
        <v>23832.727000000003</v>
      </c>
      <c r="D28" s="18">
        <f>D29+D30+D31+D32</f>
        <v>7790.2839999999997</v>
      </c>
      <c r="E28" s="13"/>
      <c r="F28" s="20">
        <f t="shared" si="4"/>
        <v>32.687337877868522</v>
      </c>
      <c r="G28" s="18">
        <f>G29+G30+G31+G32+G33</f>
        <v>57738.71899999999</v>
      </c>
      <c r="H28" s="18" t="e">
        <f>H29+H30+H31+H32+H39+#REF!+#REF!</f>
        <v>#REF!</v>
      </c>
      <c r="I28" s="18">
        <f>G28-C28</f>
        <v>33905.991999999984</v>
      </c>
      <c r="J28" s="21">
        <f t="shared" si="2"/>
        <v>242.26652283643406</v>
      </c>
      <c r="K28" s="22" t="e">
        <f>G28/#REF!*100</f>
        <v>#REF!</v>
      </c>
      <c r="L28" s="51">
        <f>L29+L30+L31+L32</f>
        <v>362.5</v>
      </c>
      <c r="M28" s="24"/>
    </row>
    <row r="29" spans="1:16" ht="22.5" customHeight="1" x14ac:dyDescent="0.3">
      <c r="A29" s="26" t="s">
        <v>15</v>
      </c>
      <c r="B29" s="57"/>
      <c r="C29" s="28">
        <f>14495.277-C34</f>
        <v>7198.4</v>
      </c>
      <c r="D29" s="28">
        <v>2384.8789999999999</v>
      </c>
      <c r="E29" s="13"/>
      <c r="F29" s="29">
        <f t="shared" si="4"/>
        <v>33.13068181818182</v>
      </c>
      <c r="G29" s="28">
        <f>43609.57+9594.151-G34</f>
        <v>7664.1443799999979</v>
      </c>
      <c r="H29" s="28"/>
      <c r="I29" s="28">
        <f>G29-C29</f>
        <v>465.74437999999827</v>
      </c>
      <c r="J29" s="53">
        <f t="shared" si="2"/>
        <v>106.47010974661033</v>
      </c>
      <c r="K29" s="22" t="e">
        <f>G29/#REF!*100</f>
        <v>#REF!</v>
      </c>
      <c r="L29" s="59"/>
      <c r="M29" s="60" t="s">
        <v>35</v>
      </c>
      <c r="O29" s="10">
        <v>324.7</v>
      </c>
    </row>
    <row r="30" spans="1:16" ht="22.5" customHeight="1" x14ac:dyDescent="0.3">
      <c r="A30" s="26" t="s">
        <v>16</v>
      </c>
      <c r="B30" s="57"/>
      <c r="C30" s="28">
        <f>1067-C35</f>
        <v>149.63999999999999</v>
      </c>
      <c r="D30" s="28">
        <v>128.4</v>
      </c>
      <c r="E30" s="13"/>
      <c r="F30" s="29">
        <f t="shared" si="4"/>
        <v>85.805934242181252</v>
      </c>
      <c r="G30" s="28">
        <f>1200.375-G35</f>
        <v>168.34500000000003</v>
      </c>
      <c r="H30" s="28"/>
      <c r="I30" s="28">
        <f t="shared" ref="I30:I40" si="5">G30-C30</f>
        <v>18.705000000000041</v>
      </c>
      <c r="J30" s="53">
        <f t="shared" si="2"/>
        <v>112.50000000000003</v>
      </c>
      <c r="K30" s="22" t="e">
        <f>G30/#REF!*100</f>
        <v>#REF!</v>
      </c>
      <c r="L30" s="54"/>
      <c r="M30" s="24"/>
    </row>
    <row r="31" spans="1:16" ht="22.5" customHeight="1" x14ac:dyDescent="0.3">
      <c r="A31" s="26" t="s">
        <v>17</v>
      </c>
      <c r="B31" s="57"/>
      <c r="C31" s="28">
        <f>3273.723-C38</f>
        <v>589.73099999999977</v>
      </c>
      <c r="D31" s="28">
        <v>76.463999999999999</v>
      </c>
      <c r="E31" s="13"/>
      <c r="F31" s="29">
        <f t="shared" si="4"/>
        <v>12.965911576634099</v>
      </c>
      <c r="G31" s="28">
        <f>3198.723-G38</f>
        <v>514.72299999999996</v>
      </c>
      <c r="H31" s="28"/>
      <c r="I31" s="28">
        <f t="shared" si="5"/>
        <v>-75.007999999999811</v>
      </c>
      <c r="J31" s="53">
        <f t="shared" si="2"/>
        <v>87.280980650500013</v>
      </c>
      <c r="K31" s="22" t="e">
        <f>G31/#REF!*100</f>
        <v>#REF!</v>
      </c>
      <c r="L31" s="32">
        <v>125</v>
      </c>
      <c r="M31" s="44"/>
      <c r="O31" s="10">
        <v>324.7</v>
      </c>
      <c r="P31" s="10" t="s">
        <v>36</v>
      </c>
    </row>
    <row r="32" spans="1:16" ht="22.5" customHeight="1" x14ac:dyDescent="0.3">
      <c r="A32" s="26" t="s">
        <v>37</v>
      </c>
      <c r="B32" s="57"/>
      <c r="C32" s="28">
        <f>67.95+67.95+4860.827-C36-C37</f>
        <v>4860.8270000000002</v>
      </c>
      <c r="D32" s="28">
        <v>5200.5410000000002</v>
      </c>
      <c r="E32" s="13"/>
      <c r="F32" s="29">
        <f t="shared" si="4"/>
        <v>106.98881075175069</v>
      </c>
      <c r="G32" s="28">
        <f>135.9-G36-G37</f>
        <v>0</v>
      </c>
      <c r="H32" s="28"/>
      <c r="I32" s="28">
        <f t="shared" si="5"/>
        <v>-4860.8270000000002</v>
      </c>
      <c r="J32" s="53">
        <f t="shared" si="2"/>
        <v>0</v>
      </c>
      <c r="K32" s="22" t="e">
        <f>G32/#REF!*100</f>
        <v>#REF!</v>
      </c>
      <c r="L32" s="34">
        <v>237.5</v>
      </c>
      <c r="M32" s="44" t="s">
        <v>38</v>
      </c>
      <c r="P32" s="10" t="s">
        <v>39</v>
      </c>
    </row>
    <row r="33" spans="1:13" ht="37.5" customHeight="1" x14ac:dyDescent="0.25">
      <c r="A33" s="37" t="s">
        <v>40</v>
      </c>
      <c r="B33" s="61"/>
      <c r="C33" s="30">
        <f>SUM(C34:C38)</f>
        <v>11034.129000000003</v>
      </c>
      <c r="D33" s="30">
        <f>SUM(D34:D38)</f>
        <v>0</v>
      </c>
      <c r="E33" s="30">
        <f>SUM(E34:E38)</f>
        <v>0</v>
      </c>
      <c r="F33" s="30">
        <f>SUM(F34:F38)</f>
        <v>0</v>
      </c>
      <c r="G33" s="30">
        <f>SUM(G34:G38)</f>
        <v>49391.506619999993</v>
      </c>
      <c r="H33" s="30"/>
      <c r="I33" s="30">
        <f t="shared" si="5"/>
        <v>38357.377619999992</v>
      </c>
      <c r="J33" s="53">
        <f t="shared" si="2"/>
        <v>447.62487931761524</v>
      </c>
      <c r="K33" s="22"/>
      <c r="L33" s="54"/>
      <c r="M33" s="24"/>
    </row>
    <row r="34" spans="1:13" ht="16.5" customHeight="1" x14ac:dyDescent="0.25">
      <c r="A34" s="26" t="s">
        <v>15</v>
      </c>
      <c r="B34" s="61"/>
      <c r="C34" s="28">
        <v>7296.8770000000004</v>
      </c>
      <c r="D34" s="30"/>
      <c r="E34" s="30"/>
      <c r="F34" s="30"/>
      <c r="G34" s="28">
        <f>37327.521*1.22+0.001</f>
        <v>45539.57662</v>
      </c>
      <c r="H34" s="30"/>
      <c r="I34" s="28">
        <f t="shared" si="5"/>
        <v>38242.699619999999</v>
      </c>
      <c r="J34" s="53">
        <f t="shared" si="2"/>
        <v>624.09681045740524</v>
      </c>
      <c r="K34" s="22"/>
      <c r="L34" s="54"/>
      <c r="M34" s="60" t="s">
        <v>35</v>
      </c>
    </row>
    <row r="35" spans="1:13" ht="16.5" customHeight="1" x14ac:dyDescent="0.25">
      <c r="A35" s="26" t="s">
        <v>16</v>
      </c>
      <c r="B35" s="61"/>
      <c r="C35" s="28">
        <v>917.36</v>
      </c>
      <c r="D35" s="30"/>
      <c r="E35" s="30"/>
      <c r="F35" s="30"/>
      <c r="G35" s="28">
        <v>1032.03</v>
      </c>
      <c r="H35" s="30"/>
      <c r="I35" s="28">
        <f t="shared" si="5"/>
        <v>114.66999999999996</v>
      </c>
      <c r="J35" s="53">
        <f t="shared" si="2"/>
        <v>112.5</v>
      </c>
      <c r="K35" s="22"/>
      <c r="L35" s="54"/>
      <c r="M35" s="24"/>
    </row>
    <row r="36" spans="1:13" ht="16.5" customHeight="1" x14ac:dyDescent="0.25">
      <c r="A36" s="26" t="s">
        <v>41</v>
      </c>
      <c r="B36" s="61"/>
      <c r="C36" s="28">
        <v>67.95</v>
      </c>
      <c r="D36" s="30"/>
      <c r="E36" s="30"/>
      <c r="F36" s="30"/>
      <c r="G36" s="28">
        <v>67.95</v>
      </c>
      <c r="H36" s="30"/>
      <c r="I36" s="28">
        <f t="shared" si="5"/>
        <v>0</v>
      </c>
      <c r="J36" s="53">
        <f t="shared" si="2"/>
        <v>100</v>
      </c>
      <c r="K36" s="22"/>
      <c r="L36" s="54"/>
      <c r="M36" s="24"/>
    </row>
    <row r="37" spans="1:13" ht="16.5" customHeight="1" x14ac:dyDescent="0.25">
      <c r="A37" s="26" t="s">
        <v>42</v>
      </c>
      <c r="B37" s="61"/>
      <c r="C37" s="28">
        <v>67.95</v>
      </c>
      <c r="D37" s="30"/>
      <c r="E37" s="30"/>
      <c r="F37" s="30"/>
      <c r="G37" s="28">
        <v>67.95</v>
      </c>
      <c r="H37" s="30"/>
      <c r="I37" s="28">
        <f t="shared" si="5"/>
        <v>0</v>
      </c>
      <c r="J37" s="53">
        <f t="shared" si="2"/>
        <v>100</v>
      </c>
      <c r="K37" s="22"/>
      <c r="L37" s="54"/>
      <c r="M37" s="24"/>
    </row>
    <row r="38" spans="1:13" ht="16.5" customHeight="1" x14ac:dyDescent="0.3">
      <c r="A38" s="26" t="s">
        <v>17</v>
      </c>
      <c r="B38" s="61"/>
      <c r="C38" s="28">
        <v>2683.9920000000002</v>
      </c>
      <c r="D38" s="30"/>
      <c r="E38" s="41"/>
      <c r="F38" s="20"/>
      <c r="G38" s="28">
        <v>2684</v>
      </c>
      <c r="H38" s="30"/>
      <c r="I38" s="28">
        <f t="shared" si="5"/>
        <v>7.9999999998108251E-3</v>
      </c>
      <c r="J38" s="53">
        <f t="shared" si="2"/>
        <v>100.00029806348157</v>
      </c>
      <c r="K38" s="22"/>
      <c r="L38" s="54"/>
      <c r="M38" s="24"/>
    </row>
    <row r="39" spans="1:13" ht="36" customHeight="1" x14ac:dyDescent="0.3">
      <c r="A39" s="62" t="s">
        <v>43</v>
      </c>
      <c r="B39" s="63"/>
      <c r="C39" s="18">
        <v>53973.398999999998</v>
      </c>
      <c r="D39" s="18"/>
      <c r="E39" s="64"/>
      <c r="F39" s="20"/>
      <c r="G39" s="65"/>
      <c r="H39" s="18"/>
      <c r="I39" s="18">
        <f t="shared" si="5"/>
        <v>-53973.398999999998</v>
      </c>
      <c r="J39" s="21">
        <f t="shared" si="2"/>
        <v>0</v>
      </c>
      <c r="K39" s="22"/>
      <c r="L39" s="54"/>
      <c r="M39" s="24"/>
    </row>
    <row r="40" spans="1:13" ht="22.5" hidden="1" customHeight="1" x14ac:dyDescent="0.3">
      <c r="A40" s="66" t="s">
        <v>44</v>
      </c>
      <c r="B40" s="27"/>
      <c r="C40" s="28"/>
      <c r="D40" s="28"/>
      <c r="E40" s="13"/>
      <c r="F40" s="20"/>
      <c r="G40" s="39"/>
      <c r="H40" s="28"/>
      <c r="I40" s="28">
        <f t="shared" si="5"/>
        <v>0</v>
      </c>
      <c r="J40" s="53"/>
      <c r="K40" s="22"/>
      <c r="L40" s="54"/>
      <c r="M40" s="67" t="s">
        <v>45</v>
      </c>
    </row>
    <row r="41" spans="1:13" s="69" customFormat="1" ht="43.5" customHeight="1" x14ac:dyDescent="0.25">
      <c r="A41" s="68" t="s">
        <v>46</v>
      </c>
      <c r="B41" s="17">
        <v>12800.800000000001</v>
      </c>
      <c r="C41" s="18">
        <f t="shared" ref="C41:I41" si="6">C42+C48</f>
        <v>20243.761000000002</v>
      </c>
      <c r="D41" s="18">
        <f t="shared" si="6"/>
        <v>30483.557000000001</v>
      </c>
      <c r="E41" s="18">
        <f t="shared" si="6"/>
        <v>0</v>
      </c>
      <c r="F41" s="18">
        <f t="shared" si="6"/>
        <v>535.42037513449509</v>
      </c>
      <c r="G41" s="18">
        <f t="shared" si="6"/>
        <v>24606.882000000001</v>
      </c>
      <c r="H41" s="18">
        <f t="shared" si="6"/>
        <v>0</v>
      </c>
      <c r="I41" s="18">
        <f t="shared" si="6"/>
        <v>4363.1209999999992</v>
      </c>
      <c r="J41" s="21">
        <f t="shared" ref="J41:J49" si="7">G41/C41*100</f>
        <v>121.55291697031988</v>
      </c>
      <c r="K41" s="22" t="e">
        <f>G41/#REF!*100</f>
        <v>#REF!</v>
      </c>
      <c r="L41" s="51">
        <f>L42+L48</f>
        <v>2125</v>
      </c>
      <c r="M41" s="24"/>
    </row>
    <row r="42" spans="1:13" s="69" customFormat="1" ht="61.5" customHeight="1" x14ac:dyDescent="0.3">
      <c r="A42" s="16" t="s">
        <v>47</v>
      </c>
      <c r="B42" s="17"/>
      <c r="C42" s="18">
        <f>C43+C44+C45+C46+C47</f>
        <v>19043.761000000002</v>
      </c>
      <c r="D42" s="18">
        <f>D43+D44+D45+D46+D47</f>
        <v>25676.457000000002</v>
      </c>
      <c r="E42" s="47"/>
      <c r="F42" s="20">
        <f t="shared" ref="F42:F48" si="8">D42/C42*100</f>
        <v>134.82870846782836</v>
      </c>
      <c r="G42" s="18">
        <f>G43+G44+G45+G46+G47</f>
        <v>22106.882000000001</v>
      </c>
      <c r="H42" s="18">
        <f>H43+H44+H45+H46+H47</f>
        <v>0</v>
      </c>
      <c r="I42" s="18">
        <f>I43+I44+I45+I46+I47</f>
        <v>3063.1209999999996</v>
      </c>
      <c r="J42" s="21">
        <f t="shared" si="7"/>
        <v>116.08464315425928</v>
      </c>
      <c r="K42" s="22" t="e">
        <f>G42/#REF!*100</f>
        <v>#REF!</v>
      </c>
      <c r="L42" s="51">
        <f>L43+L44+L45+L46+L47</f>
        <v>2125</v>
      </c>
      <c r="M42" s="24"/>
    </row>
    <row r="43" spans="1:13" s="69" customFormat="1" ht="23.25" customHeight="1" x14ac:dyDescent="0.3">
      <c r="A43" s="26" t="s">
        <v>15</v>
      </c>
      <c r="B43" s="57"/>
      <c r="C43" s="28">
        <f>23018.4-7198.4</f>
        <v>15820.000000000002</v>
      </c>
      <c r="D43" s="28">
        <v>23018.400000000001</v>
      </c>
      <c r="E43" s="47"/>
      <c r="F43" s="29">
        <f t="shared" si="8"/>
        <v>145.50189633375476</v>
      </c>
      <c r="G43" s="28">
        <f>15228.68+3350.328</f>
        <v>18579.008000000002</v>
      </c>
      <c r="H43" s="28"/>
      <c r="I43" s="28">
        <f t="shared" ref="I43:I48" si="9">G43-C43</f>
        <v>2759.0079999999998</v>
      </c>
      <c r="J43" s="53">
        <f t="shared" si="7"/>
        <v>117.43999999999998</v>
      </c>
      <c r="K43" s="22" t="e">
        <f>G43/#REF!*100</f>
        <v>#REF!</v>
      </c>
      <c r="L43" s="54"/>
      <c r="M43" s="24"/>
    </row>
    <row r="44" spans="1:13" s="69" customFormat="1" ht="23.25" customHeight="1" x14ac:dyDescent="0.3">
      <c r="A44" s="26" t="s">
        <v>16</v>
      </c>
      <c r="B44" s="57"/>
      <c r="C44" s="28">
        <v>2432.9</v>
      </c>
      <c r="D44" s="28">
        <v>1823.56</v>
      </c>
      <c r="E44" s="47"/>
      <c r="F44" s="29">
        <f t="shared" si="8"/>
        <v>74.954169920670793</v>
      </c>
      <c r="G44" s="28">
        <v>2737.0129999999999</v>
      </c>
      <c r="H44" s="28"/>
      <c r="I44" s="28">
        <f t="shared" si="9"/>
        <v>304.11299999999983</v>
      </c>
      <c r="J44" s="53">
        <f t="shared" si="7"/>
        <v>112.50002055160506</v>
      </c>
      <c r="K44" s="22" t="e">
        <f>G44/#REF!*100</f>
        <v>#REF!</v>
      </c>
      <c r="L44" s="54"/>
      <c r="M44" s="24"/>
    </row>
    <row r="45" spans="1:13" s="69" customFormat="1" ht="23.25" customHeight="1" x14ac:dyDescent="0.3">
      <c r="A45" s="26" t="s">
        <v>48</v>
      </c>
      <c r="B45" s="57"/>
      <c r="C45" s="55">
        <v>790.86099999999999</v>
      </c>
      <c r="D45" s="55">
        <v>834.49699999999996</v>
      </c>
      <c r="E45" s="47"/>
      <c r="F45" s="29">
        <f t="shared" si="8"/>
        <v>105.51753089354514</v>
      </c>
      <c r="G45" s="55">
        <v>790.86099999999999</v>
      </c>
      <c r="H45" s="55"/>
      <c r="I45" s="28">
        <f t="shared" si="9"/>
        <v>0</v>
      </c>
      <c r="J45" s="53">
        <f t="shared" si="7"/>
        <v>100</v>
      </c>
      <c r="K45" s="22" t="e">
        <f>G45/#REF!*100</f>
        <v>#REF!</v>
      </c>
      <c r="L45" s="32">
        <v>650</v>
      </c>
      <c r="M45" s="70"/>
    </row>
    <row r="46" spans="1:13" s="69" customFormat="1" ht="23.25" hidden="1" customHeight="1" x14ac:dyDescent="0.3">
      <c r="A46" s="37" t="s">
        <v>19</v>
      </c>
      <c r="B46" s="5"/>
      <c r="C46" s="30"/>
      <c r="D46" s="30"/>
      <c r="E46" s="71"/>
      <c r="F46" s="29" t="e">
        <f t="shared" si="8"/>
        <v>#DIV/0!</v>
      </c>
      <c r="G46" s="30"/>
      <c r="H46" s="30"/>
      <c r="I46" s="28">
        <f t="shared" si="9"/>
        <v>0</v>
      </c>
      <c r="J46" s="53" t="e">
        <f t="shared" si="7"/>
        <v>#DIV/0!</v>
      </c>
      <c r="K46" s="22"/>
      <c r="L46" s="72"/>
      <c r="M46" s="24"/>
    </row>
    <row r="47" spans="1:13" s="69" customFormat="1" ht="23.25" hidden="1" customHeight="1" x14ac:dyDescent="0.3">
      <c r="A47" s="37" t="s">
        <v>20</v>
      </c>
      <c r="B47" s="5"/>
      <c r="C47" s="30">
        <v>0</v>
      </c>
      <c r="D47" s="30"/>
      <c r="E47" s="71"/>
      <c r="F47" s="29" t="e">
        <f t="shared" si="8"/>
        <v>#DIV/0!</v>
      </c>
      <c r="G47" s="30">
        <v>0</v>
      </c>
      <c r="H47" s="30"/>
      <c r="I47" s="28">
        <f t="shared" si="9"/>
        <v>0</v>
      </c>
      <c r="J47" s="53" t="e">
        <f t="shared" si="7"/>
        <v>#DIV/0!</v>
      </c>
      <c r="K47" s="22"/>
      <c r="L47" s="73">
        <v>1475</v>
      </c>
      <c r="M47" s="44"/>
    </row>
    <row r="48" spans="1:13" s="69" customFormat="1" ht="23.25" customHeight="1" x14ac:dyDescent="0.3">
      <c r="A48" s="37" t="s">
        <v>49</v>
      </c>
      <c r="B48" s="74"/>
      <c r="C48" s="30">
        <v>1200</v>
      </c>
      <c r="D48" s="30">
        <v>4807.1000000000004</v>
      </c>
      <c r="E48" s="47"/>
      <c r="F48" s="29">
        <f t="shared" si="8"/>
        <v>400.5916666666667</v>
      </c>
      <c r="G48" s="30">
        <v>2500</v>
      </c>
      <c r="H48" s="30"/>
      <c r="I48" s="28">
        <f t="shared" si="9"/>
        <v>1300</v>
      </c>
      <c r="J48" s="53">
        <f t="shared" si="7"/>
        <v>208.33333333333334</v>
      </c>
      <c r="K48" s="22" t="e">
        <f>G48/#REF!*100</f>
        <v>#REF!</v>
      </c>
      <c r="L48" s="54"/>
      <c r="M48" s="24"/>
    </row>
    <row r="49" spans="1:13" ht="41.25" customHeight="1" x14ac:dyDescent="0.25">
      <c r="A49" s="16" t="s">
        <v>50</v>
      </c>
      <c r="B49" s="17">
        <v>49812.6</v>
      </c>
      <c r="C49" s="18">
        <f>C51+C53+C54+C55+C56+C57++C52+C61+C59+C58+C60</f>
        <v>126648.883</v>
      </c>
      <c r="D49" s="18">
        <f>D51+D53+D54+D55+D56+D57++D52+D61+D59+D58</f>
        <v>163391.859</v>
      </c>
      <c r="E49" s="18">
        <f>E51+E53+E54+E55+E56+E57++E52+E61+E59+E58</f>
        <v>9270.7139999999999</v>
      </c>
      <c r="F49" s="18">
        <f>F51+F53+F54+F55+F56+F57++F52+F61+F59+F58</f>
        <v>24084.417909067437</v>
      </c>
      <c r="G49" s="18">
        <f>G51+G53+G54+G55+G56+G57++G52+G61+G59+G58</f>
        <v>11586.512000000001</v>
      </c>
      <c r="H49" s="18">
        <f>H51+H53+H54+H55+H56+H57++H52+H61+H59+H58</f>
        <v>0</v>
      </c>
      <c r="I49" s="18">
        <f>I51+I53+I54+I55+I56+I57+I52+I61+I59+I58+I60</f>
        <v>-115062.371</v>
      </c>
      <c r="J49" s="21">
        <f t="shared" si="7"/>
        <v>9.1485307454310529</v>
      </c>
      <c r="K49" s="22" t="e">
        <f>G49/#REF!*100</f>
        <v>#REF!</v>
      </c>
      <c r="L49" s="51" t="e">
        <f>L51+L53+L54+L55+L56+L57+#REF!+L52</f>
        <v>#REF!</v>
      </c>
      <c r="M49" s="24"/>
    </row>
    <row r="50" spans="1:13" s="81" customFormat="1" ht="0.75" customHeight="1" x14ac:dyDescent="0.3">
      <c r="A50" s="75"/>
      <c r="B50" s="76"/>
      <c r="C50" s="77"/>
      <c r="D50" s="77"/>
      <c r="E50" s="78"/>
      <c r="F50" s="29"/>
      <c r="G50" s="79"/>
      <c r="H50" s="79"/>
      <c r="I50" s="79"/>
      <c r="J50" s="80"/>
      <c r="K50" s="22" t="e">
        <f>G50/#REF!*100</f>
        <v>#REF!</v>
      </c>
      <c r="L50" s="54"/>
      <c r="M50" s="24"/>
    </row>
    <row r="51" spans="1:13" ht="23.25" customHeight="1" x14ac:dyDescent="0.3">
      <c r="A51" s="26" t="s">
        <v>51</v>
      </c>
      <c r="B51" s="57"/>
      <c r="C51" s="30">
        <v>1421</v>
      </c>
      <c r="D51" s="30"/>
      <c r="E51" s="13"/>
      <c r="F51" s="29">
        <f>D51/C51*100</f>
        <v>0</v>
      </c>
      <c r="G51" s="42"/>
      <c r="H51" s="42"/>
      <c r="I51" s="28">
        <f t="shared" ref="I51:I62" si="10">G51-C51</f>
        <v>-1421</v>
      </c>
      <c r="J51" s="53">
        <f>G51/C51*100</f>
        <v>0</v>
      </c>
      <c r="K51" s="22" t="e">
        <f>G51/#REF!*100</f>
        <v>#REF!</v>
      </c>
      <c r="L51" s="54"/>
      <c r="M51" s="24"/>
    </row>
    <row r="52" spans="1:13" ht="23.25" customHeight="1" x14ac:dyDescent="0.3">
      <c r="A52" s="26" t="s">
        <v>52</v>
      </c>
      <c r="B52" s="57"/>
      <c r="C52" s="28">
        <v>600</v>
      </c>
      <c r="D52" s="28">
        <v>85128.43</v>
      </c>
      <c r="E52" s="13"/>
      <c r="F52" s="29">
        <f>D52/C52*100</f>
        <v>14188.071666666665</v>
      </c>
      <c r="G52" s="82"/>
      <c r="H52" s="28"/>
      <c r="I52" s="28">
        <f t="shared" si="10"/>
        <v>-600</v>
      </c>
      <c r="J52" s="53">
        <f t="shared" ref="J52:J71" si="11">G52/C52*100</f>
        <v>0</v>
      </c>
      <c r="K52" s="22" t="e">
        <f>G52/#REF!*100</f>
        <v>#REF!</v>
      </c>
      <c r="L52" s="54"/>
      <c r="M52" s="83" t="s">
        <v>53</v>
      </c>
    </row>
    <row r="53" spans="1:13" ht="39.75" customHeight="1" x14ac:dyDescent="0.3">
      <c r="A53" s="26" t="s">
        <v>54</v>
      </c>
      <c r="B53" s="57"/>
      <c r="C53" s="28">
        <v>1245.3</v>
      </c>
      <c r="D53" s="28">
        <v>1245.3</v>
      </c>
      <c r="E53" s="13"/>
      <c r="F53" s="29">
        <f>D53/C53*100</f>
        <v>100</v>
      </c>
      <c r="G53" s="28">
        <v>1586.5119999999999</v>
      </c>
      <c r="H53" s="28"/>
      <c r="I53" s="28">
        <f t="shared" si="10"/>
        <v>341.21199999999999</v>
      </c>
      <c r="J53" s="53">
        <f t="shared" si="11"/>
        <v>127.39998393961294</v>
      </c>
      <c r="K53" s="22" t="e">
        <f>G53/#REF!*100</f>
        <v>#REF!</v>
      </c>
      <c r="L53" s="34">
        <v>1245.3</v>
      </c>
      <c r="M53" s="83"/>
    </row>
    <row r="54" spans="1:13" ht="42.75" hidden="1" customHeight="1" x14ac:dyDescent="0.3">
      <c r="A54" s="26" t="s">
        <v>55</v>
      </c>
      <c r="B54" s="57"/>
      <c r="C54" s="28"/>
      <c r="D54" s="28"/>
      <c r="E54" s="13"/>
      <c r="F54" s="29"/>
      <c r="G54" s="39"/>
      <c r="H54" s="39"/>
      <c r="I54" s="28">
        <f t="shared" si="10"/>
        <v>0</v>
      </c>
      <c r="J54" s="53" t="e">
        <f t="shared" si="11"/>
        <v>#DIV/0!</v>
      </c>
      <c r="K54" s="22" t="e">
        <f>G54/#REF!*100</f>
        <v>#REF!</v>
      </c>
      <c r="L54" s="54"/>
      <c r="M54" s="24"/>
    </row>
    <row r="55" spans="1:13" ht="34.5" customHeight="1" x14ac:dyDescent="0.3">
      <c r="A55" s="26" t="s">
        <v>56</v>
      </c>
      <c r="B55" s="5"/>
      <c r="C55" s="30">
        <f>10000+3755.429</f>
        <v>13755.429</v>
      </c>
      <c r="D55" s="30">
        <v>39164.766000000003</v>
      </c>
      <c r="E55" s="41"/>
      <c r="F55" s="29">
        <f>D55/C55*100</f>
        <v>284.72224312306076</v>
      </c>
      <c r="G55" s="84">
        <v>10000</v>
      </c>
      <c r="H55" s="30"/>
      <c r="I55" s="28">
        <f t="shared" si="10"/>
        <v>-3755.4290000000001</v>
      </c>
      <c r="J55" s="53">
        <v>0</v>
      </c>
      <c r="K55" s="22" t="e">
        <f>G55/#REF!*100</f>
        <v>#REF!</v>
      </c>
      <c r="L55" s="85">
        <v>3387.37</v>
      </c>
      <c r="M55" s="44" t="s">
        <v>57</v>
      </c>
    </row>
    <row r="56" spans="1:13" ht="39.75" customHeight="1" x14ac:dyDescent="0.3">
      <c r="A56" s="26" t="s">
        <v>58</v>
      </c>
      <c r="B56" s="5"/>
      <c r="C56" s="30">
        <v>21081.677</v>
      </c>
      <c r="D56" s="30">
        <v>21811.888999999999</v>
      </c>
      <c r="E56" s="41"/>
      <c r="F56" s="29">
        <f>D56/C56*100</f>
        <v>103.46372824135386</v>
      </c>
      <c r="G56" s="86"/>
      <c r="H56" s="30"/>
      <c r="I56" s="28">
        <f t="shared" si="10"/>
        <v>-21081.677</v>
      </c>
      <c r="J56" s="53">
        <f t="shared" si="11"/>
        <v>0</v>
      </c>
      <c r="K56" s="22" t="e">
        <f>G56/#REF!*100</f>
        <v>#REF!</v>
      </c>
      <c r="L56" s="72"/>
      <c r="M56" s="83" t="s">
        <v>59</v>
      </c>
    </row>
    <row r="57" spans="1:13" ht="39.75" customHeight="1" x14ac:dyDescent="0.3">
      <c r="A57" s="26" t="s">
        <v>60</v>
      </c>
      <c r="B57" s="5"/>
      <c r="C57" s="87">
        <v>4926.1139999999996</v>
      </c>
      <c r="D57" s="87">
        <f>6054.158+716.602</f>
        <v>6770.76</v>
      </c>
      <c r="E57" s="41"/>
      <c r="F57" s="29">
        <f>D57/C57*100</f>
        <v>137.4462710363585</v>
      </c>
      <c r="G57" s="86"/>
      <c r="H57" s="87"/>
      <c r="I57" s="28">
        <f t="shared" si="10"/>
        <v>-4926.1139999999996</v>
      </c>
      <c r="J57" s="53">
        <f t="shared" si="11"/>
        <v>0</v>
      </c>
      <c r="K57" s="22" t="e">
        <f>G57/#REF!*100</f>
        <v>#REF!</v>
      </c>
      <c r="L57" s="72"/>
      <c r="M57" s="83" t="s">
        <v>61</v>
      </c>
    </row>
    <row r="58" spans="1:13" ht="39.75" customHeight="1" x14ac:dyDescent="0.3">
      <c r="A58" s="26" t="s">
        <v>62</v>
      </c>
      <c r="B58" s="5"/>
      <c r="C58" s="87">
        <f>10636+3233+13526</f>
        <v>27395</v>
      </c>
      <c r="D58" s="87"/>
      <c r="E58" s="41"/>
      <c r="F58" s="29"/>
      <c r="G58" s="86"/>
      <c r="H58" s="87"/>
      <c r="I58" s="28">
        <f t="shared" si="10"/>
        <v>-27395</v>
      </c>
      <c r="J58" s="53">
        <f t="shared" si="11"/>
        <v>0</v>
      </c>
      <c r="K58" s="22" t="e">
        <f>G58/#REF!*100</f>
        <v>#REF!</v>
      </c>
      <c r="L58" s="72"/>
      <c r="M58" s="83" t="s">
        <v>63</v>
      </c>
    </row>
    <row r="59" spans="1:13" ht="39.75" customHeight="1" x14ac:dyDescent="0.25">
      <c r="A59" s="26" t="s">
        <v>64</v>
      </c>
      <c r="B59" s="5"/>
      <c r="C59" s="87">
        <v>30596.719000000001</v>
      </c>
      <c r="D59" s="87">
        <v>9270.7139999999999</v>
      </c>
      <c r="E59" s="87">
        <v>9270.7139999999999</v>
      </c>
      <c r="F59" s="87">
        <v>9270.7139999999999</v>
      </c>
      <c r="G59" s="86"/>
      <c r="H59" s="87"/>
      <c r="I59" s="28">
        <f t="shared" si="10"/>
        <v>-30596.719000000001</v>
      </c>
      <c r="J59" s="53">
        <f t="shared" si="11"/>
        <v>0</v>
      </c>
      <c r="K59" s="22" t="e">
        <f>G59/#REF!*100</f>
        <v>#REF!</v>
      </c>
      <c r="L59" s="88"/>
      <c r="M59" s="83" t="s">
        <v>65</v>
      </c>
    </row>
    <row r="60" spans="1:13" ht="39.75" customHeight="1" x14ac:dyDescent="0.3">
      <c r="A60" s="26" t="s">
        <v>66</v>
      </c>
      <c r="B60" s="57"/>
      <c r="C60" s="28">
        <v>25173</v>
      </c>
      <c r="D60" s="28"/>
      <c r="E60" s="13"/>
      <c r="F60" s="29"/>
      <c r="G60" s="89"/>
      <c r="H60" s="28"/>
      <c r="I60" s="28">
        <f t="shared" si="10"/>
        <v>-25173</v>
      </c>
      <c r="J60" s="53">
        <f t="shared" si="11"/>
        <v>0</v>
      </c>
      <c r="K60" s="22"/>
      <c r="L60" s="54"/>
      <c r="M60" s="83"/>
    </row>
    <row r="61" spans="1:13" ht="39.75" customHeight="1" x14ac:dyDescent="0.3">
      <c r="A61" s="26" t="s">
        <v>67</v>
      </c>
      <c r="B61" s="57"/>
      <c r="C61" s="90">
        <v>454.64400000000001</v>
      </c>
      <c r="D61" s="28"/>
      <c r="E61" s="13"/>
      <c r="F61" s="20"/>
      <c r="G61" s="91"/>
      <c r="H61" s="91"/>
      <c r="I61" s="92">
        <f t="shared" si="10"/>
        <v>-454.64400000000001</v>
      </c>
      <c r="J61" s="53">
        <f t="shared" si="11"/>
        <v>0</v>
      </c>
      <c r="K61" s="22" t="e">
        <f>G61/#REF!*100</f>
        <v>#REF!</v>
      </c>
      <c r="L61" s="54"/>
      <c r="M61" s="24"/>
    </row>
    <row r="62" spans="1:13" s="69" customFormat="1" ht="23.25" hidden="1" customHeight="1" x14ac:dyDescent="0.3">
      <c r="A62" s="37" t="s">
        <v>49</v>
      </c>
      <c r="B62" s="74"/>
      <c r="C62" s="30"/>
      <c r="D62" s="30"/>
      <c r="E62" s="47"/>
      <c r="F62" s="29"/>
      <c r="G62" s="30"/>
      <c r="H62" s="30"/>
      <c r="I62" s="28">
        <f t="shared" si="10"/>
        <v>0</v>
      </c>
      <c r="J62" s="53" t="e">
        <f t="shared" si="11"/>
        <v>#DIV/0!</v>
      </c>
      <c r="K62" s="22" t="e">
        <f>G62/#REF!*100</f>
        <v>#REF!</v>
      </c>
      <c r="L62" s="54"/>
      <c r="M62" s="24"/>
    </row>
    <row r="63" spans="1:13" ht="39" customHeight="1" x14ac:dyDescent="0.3">
      <c r="A63" s="16" t="s">
        <v>68</v>
      </c>
      <c r="B63" s="17">
        <v>63662.3</v>
      </c>
      <c r="C63" s="18">
        <f>C64+C69+C68</f>
        <v>24898.166000000001</v>
      </c>
      <c r="D63" s="18">
        <f>D64+D69</f>
        <v>23931.83</v>
      </c>
      <c r="E63" s="13"/>
      <c r="F63" s="20">
        <f>D63/C63*100</f>
        <v>96.118846665252377</v>
      </c>
      <c r="G63" s="18">
        <f>G64+G69</f>
        <v>28141.333999999999</v>
      </c>
      <c r="H63" s="18">
        <f>H64+H69</f>
        <v>0</v>
      </c>
      <c r="I63" s="18">
        <f>I64+I69</f>
        <v>3243.1679999999969</v>
      </c>
      <c r="J63" s="21">
        <f t="shared" si="11"/>
        <v>113.02573048954689</v>
      </c>
      <c r="K63" s="22" t="e">
        <f>G63/#REF!*100</f>
        <v>#REF!</v>
      </c>
      <c r="L63" s="51" t="e">
        <f>L64+L69</f>
        <v>#REF!</v>
      </c>
      <c r="M63" s="24"/>
    </row>
    <row r="64" spans="1:13" ht="48.75" customHeight="1" x14ac:dyDescent="0.25">
      <c r="A64" s="16" t="s">
        <v>69</v>
      </c>
      <c r="B64" s="17"/>
      <c r="C64" s="18">
        <f>C65+C66+C67</f>
        <v>24753.166000000001</v>
      </c>
      <c r="D64" s="18">
        <f t="shared" ref="D64:I64" si="12">D65+D66+D67+D68</f>
        <v>23784.410000000003</v>
      </c>
      <c r="E64" s="18">
        <f t="shared" si="12"/>
        <v>0</v>
      </c>
      <c r="F64" s="18">
        <f t="shared" si="12"/>
        <v>259.26419299226183</v>
      </c>
      <c r="G64" s="18">
        <f t="shared" si="12"/>
        <v>28141.333999999999</v>
      </c>
      <c r="H64" s="18">
        <f t="shared" si="12"/>
        <v>0</v>
      </c>
      <c r="I64" s="18">
        <f t="shared" si="12"/>
        <v>3388.1679999999969</v>
      </c>
      <c r="J64" s="21">
        <f t="shared" si="11"/>
        <v>113.68781674231086</v>
      </c>
      <c r="K64" s="22" t="e">
        <f>G64/#REF!*100</f>
        <v>#REF!</v>
      </c>
      <c r="L64" s="51" t="e">
        <f>L65+L66+L67+#REF!+#REF!</f>
        <v>#REF!</v>
      </c>
      <c r="M64" s="24"/>
    </row>
    <row r="65" spans="1:13" ht="22.5" customHeight="1" x14ac:dyDescent="0.3">
      <c r="A65" s="26" t="s">
        <v>15</v>
      </c>
      <c r="B65" s="57"/>
      <c r="C65" s="28">
        <v>19836.400000000001</v>
      </c>
      <c r="D65" s="28">
        <v>19836.400000000001</v>
      </c>
      <c r="E65" s="13"/>
      <c r="F65" s="29">
        <f>D65/C65*100</f>
        <v>100</v>
      </c>
      <c r="G65" s="28">
        <f>19094.975+4200.893</f>
        <v>23295.867999999999</v>
      </c>
      <c r="H65" s="28"/>
      <c r="I65" s="28">
        <f>G65-C65</f>
        <v>3459.4679999999971</v>
      </c>
      <c r="J65" s="53">
        <f t="shared" si="11"/>
        <v>117.43999919340202</v>
      </c>
      <c r="K65" s="22" t="e">
        <f>G65/#REF!*100</f>
        <v>#REF!</v>
      </c>
      <c r="L65" s="54"/>
      <c r="M65" s="24"/>
    </row>
    <row r="66" spans="1:13" ht="22.5" customHeight="1" x14ac:dyDescent="0.3">
      <c r="A66" s="26" t="s">
        <v>16</v>
      </c>
      <c r="B66" s="57"/>
      <c r="C66" s="28">
        <v>2132</v>
      </c>
      <c r="D66" s="28">
        <v>1591</v>
      </c>
      <c r="E66" s="13"/>
      <c r="F66" s="29">
        <f>D66/C66*100</f>
        <v>74.62476547842401</v>
      </c>
      <c r="G66" s="28">
        <v>2398.5</v>
      </c>
      <c r="H66" s="28"/>
      <c r="I66" s="28">
        <f>G66-C66</f>
        <v>266.5</v>
      </c>
      <c r="J66" s="53">
        <f t="shared" si="11"/>
        <v>112.5</v>
      </c>
      <c r="K66" s="22" t="e">
        <f>G66/#REF!*100</f>
        <v>#REF!</v>
      </c>
      <c r="L66" s="54"/>
      <c r="M66" s="24"/>
    </row>
    <row r="67" spans="1:13" ht="22.5" customHeight="1" x14ac:dyDescent="0.3">
      <c r="A67" s="26" t="s">
        <v>70</v>
      </c>
      <c r="B67" s="57"/>
      <c r="C67" s="28">
        <v>2784.7660000000001</v>
      </c>
      <c r="D67" s="28">
        <v>2357.0100000000002</v>
      </c>
      <c r="E67" s="13"/>
      <c r="F67" s="29">
        <f>D67/C67*100</f>
        <v>84.639427513837802</v>
      </c>
      <c r="G67" s="28">
        <v>2446.9659999999999</v>
      </c>
      <c r="H67" s="28"/>
      <c r="I67" s="28">
        <f>G67-C67</f>
        <v>-337.80000000000018</v>
      </c>
      <c r="J67" s="53">
        <f t="shared" si="11"/>
        <v>87.869716881059304</v>
      </c>
      <c r="K67" s="22" t="e">
        <f>G67/#REF!*100</f>
        <v>#REF!</v>
      </c>
      <c r="L67" s="54"/>
      <c r="M67" s="24"/>
    </row>
    <row r="68" spans="1:13" ht="22.5" hidden="1" customHeight="1" x14ac:dyDescent="0.3">
      <c r="A68" s="37" t="s">
        <v>71</v>
      </c>
      <c r="B68" s="57"/>
      <c r="C68" s="28">
        <v>0</v>
      </c>
      <c r="D68" s="28"/>
      <c r="E68" s="13"/>
      <c r="F68" s="29"/>
      <c r="G68" s="39"/>
      <c r="H68" s="39"/>
      <c r="I68" s="28">
        <f>G68-C68</f>
        <v>0</v>
      </c>
      <c r="J68" s="53" t="e">
        <f t="shared" si="11"/>
        <v>#DIV/0!</v>
      </c>
      <c r="K68" s="22" t="e">
        <f>G68/#REF!*100</f>
        <v>#REF!</v>
      </c>
      <c r="L68" s="54"/>
      <c r="M68" s="24"/>
    </row>
    <row r="69" spans="1:13" ht="22.5" customHeight="1" x14ac:dyDescent="0.3">
      <c r="A69" s="75" t="s">
        <v>72</v>
      </c>
      <c r="B69" s="57"/>
      <c r="C69" s="30">
        <v>145</v>
      </c>
      <c r="D69" s="30">
        <v>147.41999999999999</v>
      </c>
      <c r="E69" s="13"/>
      <c r="F69" s="29"/>
      <c r="G69" s="30"/>
      <c r="H69" s="30"/>
      <c r="I69" s="28">
        <f>G69-C69</f>
        <v>-145</v>
      </c>
      <c r="J69" s="53">
        <f t="shared" si="11"/>
        <v>0</v>
      </c>
      <c r="K69" s="22" t="e">
        <f>G69/#REF!*100</f>
        <v>#REF!</v>
      </c>
      <c r="L69" s="54"/>
      <c r="M69" s="24"/>
    </row>
    <row r="70" spans="1:13" ht="27.75" customHeight="1" x14ac:dyDescent="0.3">
      <c r="A70" s="16" t="s">
        <v>73</v>
      </c>
      <c r="B70" s="17">
        <v>4617.1000000000004</v>
      </c>
      <c r="C70" s="18">
        <f>C71+C78</f>
        <v>14390.471000000001</v>
      </c>
      <c r="D70" s="18">
        <f>D71+D78</f>
        <v>13325.671</v>
      </c>
      <c r="E70" s="13"/>
      <c r="F70" s="20">
        <f t="shared" ref="F70:F75" si="13">D70/C70*100</f>
        <v>92.60065914451306</v>
      </c>
      <c r="G70" s="18">
        <f>G71+G78</f>
        <v>21715.731</v>
      </c>
      <c r="H70" s="18">
        <f>H71+H78</f>
        <v>0</v>
      </c>
      <c r="I70" s="18">
        <f>I71+I78</f>
        <v>7325.2599999999984</v>
      </c>
      <c r="J70" s="21">
        <f t="shared" si="11"/>
        <v>150.90354582556748</v>
      </c>
      <c r="K70" s="22" t="e">
        <f>G70/#REF!*100</f>
        <v>#REF!</v>
      </c>
      <c r="L70" s="51">
        <f>L71+L78</f>
        <v>923.5</v>
      </c>
      <c r="M70" s="24"/>
    </row>
    <row r="71" spans="1:13" ht="39" customHeight="1" x14ac:dyDescent="0.3">
      <c r="A71" s="16" t="s">
        <v>74</v>
      </c>
      <c r="B71" s="17"/>
      <c r="C71" s="18">
        <f>C73+C74+C75</f>
        <v>13990.471000000001</v>
      </c>
      <c r="D71" s="18">
        <f>D73+D74+D75</f>
        <v>12925.671</v>
      </c>
      <c r="E71" s="13"/>
      <c r="F71" s="20">
        <f t="shared" si="13"/>
        <v>92.389105413248771</v>
      </c>
      <c r="G71" s="18">
        <f>G73+G74+G75</f>
        <v>21315.731</v>
      </c>
      <c r="H71" s="18">
        <f>H73+H74+H75</f>
        <v>0</v>
      </c>
      <c r="I71" s="18">
        <f>G71-C71</f>
        <v>7325.2599999999984</v>
      </c>
      <c r="J71" s="21">
        <f t="shared" si="11"/>
        <v>152.35892344153388</v>
      </c>
      <c r="K71" s="22" t="e">
        <f>G71/#REF!*100</f>
        <v>#REF!</v>
      </c>
      <c r="L71" s="51">
        <f>L73+L74+L75</f>
        <v>923.5</v>
      </c>
      <c r="M71" s="24"/>
    </row>
    <row r="72" spans="1:13" ht="0.75" hidden="1" customHeight="1" x14ac:dyDescent="0.3">
      <c r="A72" s="37" t="s">
        <v>75</v>
      </c>
      <c r="B72" s="5"/>
      <c r="C72" s="30"/>
      <c r="D72" s="30"/>
      <c r="E72" s="13"/>
      <c r="F72" s="20" t="e">
        <f t="shared" si="13"/>
        <v>#DIV/0!</v>
      </c>
      <c r="G72" s="30"/>
      <c r="H72" s="30"/>
      <c r="I72" s="18">
        <f t="shared" ref="I72:I78" si="14">G72-C72</f>
        <v>0</v>
      </c>
      <c r="J72" s="31"/>
      <c r="K72" s="22" t="e">
        <f>G72/#REF!*100</f>
        <v>#REF!</v>
      </c>
      <c r="L72" s="54"/>
      <c r="M72" s="24"/>
    </row>
    <row r="73" spans="1:13" ht="22.5" customHeight="1" x14ac:dyDescent="0.3">
      <c r="A73" s="26" t="s">
        <v>15</v>
      </c>
      <c r="B73" s="57"/>
      <c r="C73" s="28">
        <v>10242.77</v>
      </c>
      <c r="D73" s="28">
        <v>10242.77</v>
      </c>
      <c r="E73" s="13"/>
      <c r="F73" s="29">
        <f t="shared" si="13"/>
        <v>100</v>
      </c>
      <c r="G73" s="28">
        <f>14139.377+3110.653</f>
        <v>17250.03</v>
      </c>
      <c r="H73" s="28"/>
      <c r="I73" s="28">
        <f>G73-C73</f>
        <v>7007.2599999999984</v>
      </c>
      <c r="J73" s="53">
        <f>G73/C73*100</f>
        <v>168.4117675199189</v>
      </c>
      <c r="K73" s="22" t="e">
        <f>G73/#REF!*100</f>
        <v>#REF!</v>
      </c>
      <c r="L73" s="54"/>
      <c r="M73" s="24"/>
    </row>
    <row r="74" spans="1:13" ht="22.5" customHeight="1" x14ac:dyDescent="0.3">
      <c r="A74" s="26" t="s">
        <v>16</v>
      </c>
      <c r="B74" s="57"/>
      <c r="C74" s="28">
        <v>904</v>
      </c>
      <c r="D74" s="28">
        <v>705.5</v>
      </c>
      <c r="E74" s="13"/>
      <c r="F74" s="29">
        <f t="shared" si="13"/>
        <v>78.042035398230098</v>
      </c>
      <c r="G74" s="28">
        <v>1017</v>
      </c>
      <c r="H74" s="28"/>
      <c r="I74" s="28">
        <f t="shared" si="14"/>
        <v>113</v>
      </c>
      <c r="J74" s="53">
        <f t="shared" ref="J74:J79" si="15">G74/C74*100</f>
        <v>112.5</v>
      </c>
      <c r="K74" s="22" t="e">
        <f>G74/#REF!*100</f>
        <v>#REF!</v>
      </c>
      <c r="L74" s="54"/>
      <c r="M74" s="24"/>
    </row>
    <row r="75" spans="1:13" ht="22.5" customHeight="1" x14ac:dyDescent="0.3">
      <c r="A75" s="26" t="s">
        <v>17</v>
      </c>
      <c r="B75" s="93"/>
      <c r="C75" s="28">
        <v>2843.701</v>
      </c>
      <c r="D75" s="28">
        <v>1977.4010000000001</v>
      </c>
      <c r="E75" s="13"/>
      <c r="F75" s="29">
        <f t="shared" si="13"/>
        <v>69.536178381623102</v>
      </c>
      <c r="G75" s="28">
        <v>3048.701</v>
      </c>
      <c r="H75" s="28"/>
      <c r="I75" s="28">
        <f t="shared" si="14"/>
        <v>205</v>
      </c>
      <c r="J75" s="53">
        <f t="shared" si="15"/>
        <v>107.20891542394928</v>
      </c>
      <c r="K75" s="22" t="e">
        <f>G75/#REF!*100</f>
        <v>#REF!</v>
      </c>
      <c r="L75" s="34">
        <v>923.5</v>
      </c>
      <c r="M75" s="44"/>
    </row>
    <row r="76" spans="1:13" ht="22.5" hidden="1" customHeight="1" x14ac:dyDescent="0.3">
      <c r="A76" s="26" t="s">
        <v>19</v>
      </c>
      <c r="B76" s="93"/>
      <c r="C76" s="28"/>
      <c r="D76" s="28"/>
      <c r="E76" s="13"/>
      <c r="F76" s="29"/>
      <c r="G76" s="28"/>
      <c r="H76" s="28"/>
      <c r="I76" s="30">
        <f t="shared" si="14"/>
        <v>0</v>
      </c>
      <c r="J76" s="53" t="e">
        <f t="shared" si="15"/>
        <v>#DIV/0!</v>
      </c>
      <c r="K76" s="22" t="e">
        <f>G76/#REF!*100</f>
        <v>#REF!</v>
      </c>
      <c r="L76" s="54"/>
      <c r="M76" s="24"/>
    </row>
    <row r="77" spans="1:13" ht="22.5" hidden="1" customHeight="1" x14ac:dyDescent="0.3">
      <c r="A77" s="26" t="s">
        <v>20</v>
      </c>
      <c r="B77" s="93"/>
      <c r="C77" s="28"/>
      <c r="D77" s="28"/>
      <c r="E77" s="13"/>
      <c r="F77" s="29"/>
      <c r="G77" s="28"/>
      <c r="H77" s="28"/>
      <c r="I77" s="30">
        <f t="shared" si="14"/>
        <v>0</v>
      </c>
      <c r="J77" s="53" t="e">
        <f t="shared" si="15"/>
        <v>#DIV/0!</v>
      </c>
      <c r="K77" s="22" t="e">
        <f>G77/#REF!*100</f>
        <v>#REF!</v>
      </c>
      <c r="L77" s="54"/>
      <c r="M77" s="24"/>
    </row>
    <row r="78" spans="1:13" ht="22.5" customHeight="1" x14ac:dyDescent="0.3">
      <c r="A78" s="37" t="s">
        <v>49</v>
      </c>
      <c r="B78" s="5"/>
      <c r="C78" s="30">
        <v>400</v>
      </c>
      <c r="D78" s="30">
        <v>400</v>
      </c>
      <c r="E78" s="13"/>
      <c r="F78" s="29">
        <f>D78/C78*100</f>
        <v>100</v>
      </c>
      <c r="G78" s="30">
        <v>400</v>
      </c>
      <c r="H78" s="30"/>
      <c r="I78" s="30">
        <f t="shared" si="14"/>
        <v>0</v>
      </c>
      <c r="J78" s="53">
        <f t="shared" si="15"/>
        <v>100</v>
      </c>
      <c r="K78" s="22" t="e">
        <f>G78/#REF!*100</f>
        <v>#REF!</v>
      </c>
      <c r="L78" s="54"/>
      <c r="M78" s="24"/>
    </row>
    <row r="79" spans="1:13" ht="30" hidden="1" customHeight="1" x14ac:dyDescent="0.3">
      <c r="A79" s="26"/>
      <c r="B79" s="93"/>
      <c r="C79" s="30"/>
      <c r="D79" s="30"/>
      <c r="E79" s="13"/>
      <c r="F79" s="20"/>
      <c r="G79" s="42"/>
      <c r="H79" s="42"/>
      <c r="I79" s="18">
        <f>I82+I83+I84</f>
        <v>-187699.17099999959</v>
      </c>
      <c r="J79" s="53" t="e">
        <f t="shared" si="15"/>
        <v>#DIV/0!</v>
      </c>
      <c r="K79" s="22" t="e">
        <f>G79/#REF!*100</f>
        <v>#REF!</v>
      </c>
      <c r="L79" s="54"/>
      <c r="M79" s="24"/>
    </row>
    <row r="80" spans="1:13" ht="39" customHeight="1" x14ac:dyDescent="0.25">
      <c r="A80" s="94" t="s">
        <v>76</v>
      </c>
      <c r="B80" s="95"/>
      <c r="C80" s="96">
        <f>C81+C82</f>
        <v>146152.46799999999</v>
      </c>
      <c r="D80" s="96">
        <f t="shared" ref="D80:I80" si="16">D81+D82</f>
        <v>1000</v>
      </c>
      <c r="E80" s="96">
        <f t="shared" si="16"/>
        <v>1000</v>
      </c>
      <c r="F80" s="96">
        <f t="shared" si="16"/>
        <v>1000</v>
      </c>
      <c r="G80" s="96">
        <f t="shared" si="16"/>
        <v>84087.6</v>
      </c>
      <c r="H80" s="96">
        <f t="shared" si="16"/>
        <v>0</v>
      </c>
      <c r="I80" s="96">
        <f t="shared" si="16"/>
        <v>-62064.867999999988</v>
      </c>
      <c r="J80" s="97">
        <f>G80/C80*100</f>
        <v>57.534163569512906</v>
      </c>
      <c r="K80" s="22" t="e">
        <f>G80/#REF!*100</f>
        <v>#REF!</v>
      </c>
      <c r="L80" s="98">
        <v>44000</v>
      </c>
      <c r="M80" s="99" t="s">
        <v>77</v>
      </c>
    </row>
    <row r="81" spans="1:13" ht="42" customHeight="1" x14ac:dyDescent="0.25">
      <c r="A81" s="57" t="s">
        <v>78</v>
      </c>
      <c r="B81" s="100"/>
      <c r="C81" s="101">
        <v>139613.46799999999</v>
      </c>
      <c r="D81" s="101">
        <v>500</v>
      </c>
      <c r="E81" s="101">
        <v>500</v>
      </c>
      <c r="F81" s="101">
        <v>500</v>
      </c>
      <c r="G81" s="102">
        <v>0</v>
      </c>
      <c r="H81" s="103"/>
      <c r="I81" s="104">
        <f>G81-C81</f>
        <v>-139613.46799999999</v>
      </c>
      <c r="J81" s="53">
        <f>G81/C81*100</f>
        <v>0</v>
      </c>
      <c r="K81" s="22" t="e">
        <f>G81/#REF!*100</f>
        <v>#REF!</v>
      </c>
      <c r="L81" s="54"/>
      <c r="M81" s="24"/>
    </row>
    <row r="82" spans="1:13" ht="39" customHeight="1" x14ac:dyDescent="0.25">
      <c r="A82" s="57" t="s">
        <v>79</v>
      </c>
      <c r="B82" s="105"/>
      <c r="C82" s="106">
        <v>6539</v>
      </c>
      <c r="D82" s="106">
        <v>500</v>
      </c>
      <c r="E82" s="106">
        <v>500</v>
      </c>
      <c r="F82" s="106">
        <v>500</v>
      </c>
      <c r="G82" s="102">
        <v>84087.6</v>
      </c>
      <c r="H82" s="107"/>
      <c r="I82" s="104">
        <f>G82-C82</f>
        <v>77548.600000000006</v>
      </c>
      <c r="J82" s="53">
        <f>G82/C82*100</f>
        <v>1285.9397461385533</v>
      </c>
      <c r="K82" s="22" t="e">
        <f>G82/#REF!*100</f>
        <v>#REF!</v>
      </c>
      <c r="L82" s="54"/>
      <c r="M82" s="24"/>
    </row>
    <row r="83" spans="1:13" ht="60" customHeight="1" x14ac:dyDescent="0.25">
      <c r="A83" s="108" t="s">
        <v>80</v>
      </c>
      <c r="B83" s="109" t="e">
        <f>B6+B14+#REF!+B28+#REF!+#REF!+B49+B63+B70+B75+B76+B77+#REF!</f>
        <v>#REF!</v>
      </c>
      <c r="C83" s="110">
        <f>C80+C70+C63+C49+C41+C39+C28+C14+C6</f>
        <v>2241754.0829999996</v>
      </c>
      <c r="D83" s="110">
        <f>D80+D70+D63+D49+D41+D39+D28+D14+D6</f>
        <v>2079681.4770000002</v>
      </c>
      <c r="E83" s="110">
        <f>E80+E70+E63+E49+E41+E39+E28+E14+E6</f>
        <v>113030.26500000001</v>
      </c>
      <c r="F83" s="110">
        <f>F80+F70+F63+F49+F41+F39+F28+F14+F6</f>
        <v>26036.192031332022</v>
      </c>
      <c r="G83" s="110">
        <f>G80+G70+G63+G49+G41+G39+G28+G14+G6</f>
        <v>1976506.3120000002</v>
      </c>
      <c r="H83" s="110" t="e">
        <f>H6+H14+H28+H41+H49+H63+H70+H80</f>
        <v>#REF!</v>
      </c>
      <c r="I83" s="110">
        <f>I6+I14+I28+I41+I49+I63+I70+I80+I39</f>
        <v>-265247.7709999996</v>
      </c>
      <c r="J83" s="111">
        <f>G83/C83*100</f>
        <v>88.167847088515842</v>
      </c>
      <c r="K83" s="22" t="e">
        <f>G83/#REF!*100</f>
        <v>#REF!</v>
      </c>
      <c r="L83" s="112" t="e">
        <f>L6+L14+L28+L41+L49+L63+L70+L80</f>
        <v>#REF!</v>
      </c>
      <c r="M83" s="24"/>
    </row>
    <row r="84" spans="1:13" ht="18.75" hidden="1" x14ac:dyDescent="0.3">
      <c r="A84" s="100" t="s">
        <v>81</v>
      </c>
      <c r="B84" s="113">
        <v>328338.09999999998</v>
      </c>
      <c r="C84" s="13"/>
      <c r="D84" s="114"/>
      <c r="E84" s="13"/>
      <c r="F84" s="29"/>
      <c r="G84" s="47"/>
      <c r="H84" s="47"/>
      <c r="I84" s="47"/>
      <c r="J84" s="115"/>
      <c r="K84" s="22" t="e">
        <f>G84/#REF!*100</f>
        <v>#REF!</v>
      </c>
      <c r="L84" s="54"/>
      <c r="M84" s="24"/>
    </row>
    <row r="85" spans="1:13" ht="28.5" hidden="1" customHeight="1" x14ac:dyDescent="0.3">
      <c r="A85" s="57" t="s">
        <v>82</v>
      </c>
      <c r="B85" s="100" t="e">
        <f>B83-B84</f>
        <v>#REF!</v>
      </c>
      <c r="C85" s="13"/>
      <c r="D85" s="55"/>
      <c r="E85" s="13"/>
      <c r="F85" s="29"/>
      <c r="G85" s="47"/>
      <c r="H85" s="47"/>
      <c r="I85" s="47"/>
      <c r="J85" s="115"/>
      <c r="K85" s="22" t="e">
        <f>G85/#REF!*100</f>
        <v>#REF!</v>
      </c>
      <c r="L85" s="54"/>
      <c r="M85" s="24"/>
    </row>
    <row r="86" spans="1:13" ht="18.75" x14ac:dyDescent="0.25">
      <c r="A86" s="57" t="s">
        <v>83</v>
      </c>
      <c r="B86" s="100"/>
      <c r="C86" s="55">
        <f t="shared" ref="C86:I86" si="17">C78+C69+C48+C27+C13</f>
        <v>74885.698999999993</v>
      </c>
      <c r="D86" s="55">
        <f t="shared" si="17"/>
        <v>97094.12000000001</v>
      </c>
      <c r="E86" s="55">
        <f t="shared" si="17"/>
        <v>0</v>
      </c>
      <c r="F86" s="55">
        <f t="shared" si="17"/>
        <v>626.10838801271029</v>
      </c>
      <c r="G86" s="55">
        <f t="shared" si="17"/>
        <v>94313.07</v>
      </c>
      <c r="H86" s="55">
        <f t="shared" si="17"/>
        <v>0</v>
      </c>
      <c r="I86" s="55">
        <f t="shared" si="17"/>
        <v>19427.37100000001</v>
      </c>
      <c r="J86" s="116">
        <f>G86/C86*100</f>
        <v>125.94269835152372</v>
      </c>
      <c r="K86" s="22" t="e">
        <f>G86/#REF!*100</f>
        <v>#REF!</v>
      </c>
      <c r="L86" s="54"/>
      <c r="M86" s="24"/>
    </row>
    <row r="87" spans="1:13" ht="0.75" customHeight="1" x14ac:dyDescent="0.3">
      <c r="A87" s="13"/>
      <c r="B87" s="13"/>
      <c r="C87" s="13"/>
      <c r="D87" s="117"/>
      <c r="E87" s="13"/>
      <c r="F87" s="29"/>
      <c r="G87" s="47"/>
      <c r="H87" s="47"/>
      <c r="I87" s="47"/>
      <c r="J87" s="115"/>
      <c r="K87" s="22" t="e">
        <f>G87/#REF!*100</f>
        <v>#REF!</v>
      </c>
      <c r="L87" s="54"/>
      <c r="M87" s="24"/>
    </row>
    <row r="88" spans="1:13" ht="39" customHeight="1" x14ac:dyDescent="0.3">
      <c r="A88" s="118" t="s">
        <v>84</v>
      </c>
      <c r="B88" s="13"/>
      <c r="C88" s="119">
        <f t="shared" ref="C88:I88" si="18">C80+C71+C64+C49+C42+C28+C15+C7+C39</f>
        <v>2166868.3840000001</v>
      </c>
      <c r="D88" s="119">
        <f t="shared" si="18"/>
        <v>1982587.3569999998</v>
      </c>
      <c r="E88" s="119">
        <f t="shared" si="18"/>
        <v>10270.714</v>
      </c>
      <c r="F88" s="119">
        <f t="shared" si="18"/>
        <v>25797.437616233576</v>
      </c>
      <c r="G88" s="119">
        <f t="shared" si="18"/>
        <v>1882193.2420000001</v>
      </c>
      <c r="H88" s="119" t="e">
        <f t="shared" si="18"/>
        <v>#REF!</v>
      </c>
      <c r="I88" s="119">
        <f t="shared" si="18"/>
        <v>-284675.14199999959</v>
      </c>
      <c r="J88" s="120">
        <f>G88/C88*100</f>
        <v>86.862370409664905</v>
      </c>
      <c r="K88" s="22" t="e">
        <f>G88/#REF!*100</f>
        <v>#REF!</v>
      </c>
      <c r="L88" s="121" t="e">
        <f>L7+L15+L28+L42+L49+L64+L71+L80</f>
        <v>#REF!</v>
      </c>
      <c r="M88" s="24"/>
    </row>
    <row r="89" spans="1:13" s="127" customFormat="1" ht="13.5" customHeight="1" x14ac:dyDescent="0.3">
      <c r="A89" s="122" t="s">
        <v>85</v>
      </c>
      <c r="B89" s="5"/>
      <c r="C89" s="123"/>
      <c r="D89" s="30"/>
      <c r="E89" s="123"/>
      <c r="F89" s="124"/>
      <c r="G89" s="125"/>
      <c r="H89" s="125"/>
      <c r="I89" s="125"/>
      <c r="J89" s="126"/>
      <c r="K89" s="22"/>
      <c r="L89" s="54"/>
      <c r="M89" s="24"/>
    </row>
    <row r="90" spans="1:13" s="127" customFormat="1" ht="25.5" customHeight="1" x14ac:dyDescent="0.3">
      <c r="A90" s="128" t="s">
        <v>86</v>
      </c>
      <c r="B90" s="129"/>
      <c r="C90" s="30">
        <f>C91+C96+C97+C98+C99+C95+C33</f>
        <v>1727264.2290000001</v>
      </c>
      <c r="D90" s="30">
        <f>D91+D96+D97+D98+D99+D95+D33</f>
        <v>1815289.9279999996</v>
      </c>
      <c r="E90" s="30">
        <f>E91+E96+E97+E98+E99+E95+E33</f>
        <v>1393718</v>
      </c>
      <c r="F90" s="30">
        <f>F91+F96+F97+F98+F99+F95+F33</f>
        <v>1399385.9143021144</v>
      </c>
      <c r="G90" s="30">
        <f>G91+G96+G97+G98+G99+G95+G33</f>
        <v>1788105.642</v>
      </c>
      <c r="H90" s="30">
        <f>H91+H96+H97+H98+H99+H95</f>
        <v>0</v>
      </c>
      <c r="I90" s="30">
        <f>I91+I96+I97+I98+I99+I95+I33</f>
        <v>60841.413</v>
      </c>
      <c r="J90" s="31">
        <f>G90/C90*100</f>
        <v>103.52241492520366</v>
      </c>
      <c r="K90" s="22" t="e">
        <f>G90/#REF!*100</f>
        <v>#REF!</v>
      </c>
      <c r="L90" s="130">
        <f>L91+L96+L97+L98+L99</f>
        <v>4563.3999999999996</v>
      </c>
      <c r="M90" s="24"/>
    </row>
    <row r="91" spans="1:13" ht="20.25" customHeight="1" x14ac:dyDescent="0.3">
      <c r="A91" s="75" t="s">
        <v>15</v>
      </c>
      <c r="B91" s="13"/>
      <c r="C91" s="30">
        <f t="shared" ref="C91:I91" si="19">C8+C16+C29+C43+C65+C73</f>
        <v>1311901.8629999999</v>
      </c>
      <c r="D91" s="30">
        <f t="shared" si="19"/>
        <v>1416334.3989999997</v>
      </c>
      <c r="E91" s="30">
        <f t="shared" si="19"/>
        <v>1264242.7</v>
      </c>
      <c r="F91" s="30">
        <f t="shared" si="19"/>
        <v>1264721.3325781517</v>
      </c>
      <c r="G91" s="30">
        <f t="shared" si="19"/>
        <v>1315708.14338</v>
      </c>
      <c r="H91" s="30">
        <f t="shared" si="19"/>
        <v>0</v>
      </c>
      <c r="I91" s="30">
        <f t="shared" si="19"/>
        <v>3806.2803800000038</v>
      </c>
      <c r="J91" s="31">
        <f t="shared" ref="J91:J105" si="20">G91/C91*100</f>
        <v>100.29013453577207</v>
      </c>
      <c r="K91" s="22" t="e">
        <f>G91/#REF!*100</f>
        <v>#REF!</v>
      </c>
      <c r="L91" s="131">
        <f>L8+L16+L29+L43+L65+L73</f>
        <v>0</v>
      </c>
      <c r="M91" s="24"/>
    </row>
    <row r="92" spans="1:13" ht="16.5" customHeight="1" x14ac:dyDescent="0.3">
      <c r="A92" s="75" t="s">
        <v>87</v>
      </c>
      <c r="B92" s="13"/>
      <c r="C92" s="30"/>
      <c r="D92" s="30"/>
      <c r="E92" s="117"/>
      <c r="F92" s="30"/>
      <c r="G92" s="30"/>
      <c r="H92" s="30"/>
      <c r="I92" s="30"/>
      <c r="J92" s="31"/>
      <c r="K92" s="22"/>
      <c r="L92" s="131"/>
      <c r="M92" s="24"/>
    </row>
    <row r="93" spans="1:13" ht="20.25" customHeight="1" x14ac:dyDescent="0.25">
      <c r="A93" s="26" t="s">
        <v>25</v>
      </c>
      <c r="B93" s="27"/>
      <c r="C93" s="28">
        <f>C91-C94</f>
        <v>950119.26299999992</v>
      </c>
      <c r="D93" s="28">
        <f>D91-D94</f>
        <v>1416334.3989999997</v>
      </c>
      <c r="E93" s="28">
        <f>E91-E94</f>
        <v>1264242.7</v>
      </c>
      <c r="F93" s="28">
        <f>F91-F94</f>
        <v>1264721.3325781517</v>
      </c>
      <c r="G93" s="28">
        <f>G91-G94</f>
        <v>953925.54338000005</v>
      </c>
      <c r="H93" s="28">
        <f>H8+H29+H43+H65+H73+H18</f>
        <v>0</v>
      </c>
      <c r="I93" s="28">
        <f>I8+I29+I43+I65+I73+I18</f>
        <v>3806.2803800000038</v>
      </c>
      <c r="J93" s="31">
        <f t="shared" si="20"/>
        <v>100.40061079995178</v>
      </c>
      <c r="K93" s="22" t="e">
        <f>G93/#REF!*100</f>
        <v>#REF!</v>
      </c>
      <c r="L93" s="131"/>
      <c r="M93" s="24"/>
    </row>
    <row r="94" spans="1:13" ht="20.25" customHeight="1" x14ac:dyDescent="0.25">
      <c r="A94" s="26" t="s">
        <v>26</v>
      </c>
      <c r="B94" s="27"/>
      <c r="C94" s="28">
        <f>C19</f>
        <v>361782.6</v>
      </c>
      <c r="D94" s="28">
        <f t="shared" ref="C94:J95" si="21">D19</f>
        <v>0</v>
      </c>
      <c r="E94" s="28">
        <f t="shared" si="21"/>
        <v>0</v>
      </c>
      <c r="F94" s="28">
        <f t="shared" si="21"/>
        <v>0</v>
      </c>
      <c r="G94" s="28">
        <f t="shared" si="21"/>
        <v>361782.6</v>
      </c>
      <c r="H94" s="28">
        <f t="shared" si="21"/>
        <v>0</v>
      </c>
      <c r="I94" s="28">
        <f t="shared" si="21"/>
        <v>0</v>
      </c>
      <c r="J94" s="31">
        <f t="shared" si="20"/>
        <v>100</v>
      </c>
      <c r="K94" s="22" t="e">
        <f>G94/#REF!*100</f>
        <v>#REF!</v>
      </c>
      <c r="L94" s="131"/>
      <c r="M94" s="24"/>
    </row>
    <row r="95" spans="1:13" ht="20.25" customHeight="1" x14ac:dyDescent="0.25">
      <c r="A95" s="75" t="s">
        <v>88</v>
      </c>
      <c r="B95" s="132"/>
      <c r="C95" s="30">
        <f t="shared" si="21"/>
        <v>33411.156000000003</v>
      </c>
      <c r="D95" s="30">
        <f t="shared" si="21"/>
        <v>0</v>
      </c>
      <c r="E95" s="30">
        <f t="shared" si="21"/>
        <v>0</v>
      </c>
      <c r="F95" s="30">
        <f t="shared" si="21"/>
        <v>0</v>
      </c>
      <c r="G95" s="30">
        <f t="shared" si="21"/>
        <v>33411.156000000003</v>
      </c>
      <c r="H95" s="28">
        <f t="shared" si="21"/>
        <v>0</v>
      </c>
      <c r="I95" s="28">
        <f t="shared" si="21"/>
        <v>0</v>
      </c>
      <c r="J95" s="31">
        <f t="shared" si="20"/>
        <v>100</v>
      </c>
      <c r="K95" s="22"/>
      <c r="L95" s="131"/>
      <c r="M95" s="24"/>
    </row>
    <row r="96" spans="1:13" s="133" customFormat="1" ht="21.75" customHeight="1" x14ac:dyDescent="0.3">
      <c r="A96" s="75" t="s">
        <v>16</v>
      </c>
      <c r="B96" s="13"/>
      <c r="C96" s="30">
        <f t="shared" ref="C96:I96" si="22">C9+C22+C30+C44+C66+C74</f>
        <v>167150.84</v>
      </c>
      <c r="D96" s="30">
        <f t="shared" si="22"/>
        <v>133723.76</v>
      </c>
      <c r="E96" s="30">
        <f t="shared" si="22"/>
        <v>129475.3</v>
      </c>
      <c r="F96" s="30">
        <f t="shared" si="22"/>
        <v>129788.72690503951</v>
      </c>
      <c r="G96" s="30">
        <f t="shared" si="22"/>
        <v>188044.698</v>
      </c>
      <c r="H96" s="30">
        <f t="shared" si="22"/>
        <v>0</v>
      </c>
      <c r="I96" s="30">
        <f t="shared" si="22"/>
        <v>20893.858000000011</v>
      </c>
      <c r="J96" s="31">
        <f t="shared" si="20"/>
        <v>112.50000179478607</v>
      </c>
      <c r="K96" s="22" t="e">
        <f>G96/#REF!*100</f>
        <v>#REF!</v>
      </c>
      <c r="L96" s="131">
        <f>L9+L22+L30+L44+L66+L74</f>
        <v>0</v>
      </c>
      <c r="M96" s="24"/>
    </row>
    <row r="97" spans="1:15" s="133" customFormat="1" ht="21.75" customHeight="1" x14ac:dyDescent="0.3">
      <c r="A97" s="75" t="s">
        <v>89</v>
      </c>
      <c r="B97" s="13"/>
      <c r="C97" s="30">
        <f>C10+C24+C31+C45+C67+C75</f>
        <v>197060.11400000003</v>
      </c>
      <c r="D97" s="30">
        <f>D10+D24+D31+D45+D67+D75</f>
        <v>173657.49800000002</v>
      </c>
      <c r="E97" s="134"/>
      <c r="F97" s="30">
        <f t="shared" ref="F97:F103" si="23">D97/C97*100</f>
        <v>88.124123382979462</v>
      </c>
      <c r="G97" s="30">
        <f>G10+G24+G31+G45+G67+G75</f>
        <v>199963.62599999999</v>
      </c>
      <c r="H97" s="30">
        <f>H10+H24+H31+H45+H67+H75</f>
        <v>0</v>
      </c>
      <c r="I97" s="30">
        <f>I10+I24+I31+I45+I67+I75</f>
        <v>2903.5119999999952</v>
      </c>
      <c r="J97" s="31">
        <f t="shared" si="20"/>
        <v>101.47341435111518</v>
      </c>
      <c r="K97" s="22" t="e">
        <f>G97/#REF!*100</f>
        <v>#REF!</v>
      </c>
      <c r="L97" s="131">
        <f>L10+L24+L31+L45+L67+L75</f>
        <v>3080.6</v>
      </c>
      <c r="M97" s="24"/>
    </row>
    <row r="98" spans="1:15" s="133" customFormat="1" ht="33.75" customHeight="1" x14ac:dyDescent="0.3">
      <c r="A98" s="75" t="s">
        <v>90</v>
      </c>
      <c r="B98" s="13"/>
      <c r="C98" s="30">
        <f>C53+C52</f>
        <v>1845.3</v>
      </c>
      <c r="D98" s="30">
        <f>D53+D52</f>
        <v>86373.73</v>
      </c>
      <c r="E98" s="117"/>
      <c r="F98" s="30">
        <f t="shared" si="23"/>
        <v>4680.741884788381</v>
      </c>
      <c r="G98" s="30">
        <f>G53+G52</f>
        <v>1586.5119999999999</v>
      </c>
      <c r="H98" s="30">
        <f>H53+H52</f>
        <v>0</v>
      </c>
      <c r="I98" s="30">
        <f>I53+I52</f>
        <v>-258.78800000000001</v>
      </c>
      <c r="J98" s="31">
        <f t="shared" si="20"/>
        <v>85.975830488267491</v>
      </c>
      <c r="K98" s="22" t="e">
        <f>G98/#REF!*100</f>
        <v>#REF!</v>
      </c>
      <c r="L98" s="131">
        <f>L53+L52</f>
        <v>1245.3</v>
      </c>
      <c r="M98" s="24"/>
    </row>
    <row r="99" spans="1:15" s="133" customFormat="1" ht="21.75" customHeight="1" x14ac:dyDescent="0.3">
      <c r="A99" s="75" t="s">
        <v>91</v>
      </c>
      <c r="B99" s="13"/>
      <c r="C99" s="30">
        <f>C32</f>
        <v>4860.8270000000002</v>
      </c>
      <c r="D99" s="30">
        <f>D32</f>
        <v>5200.5410000000002</v>
      </c>
      <c r="E99" s="117"/>
      <c r="F99" s="30">
        <f t="shared" si="23"/>
        <v>106.98881075175069</v>
      </c>
      <c r="G99" s="30">
        <f>G32</f>
        <v>0</v>
      </c>
      <c r="H99" s="30">
        <f>H32</f>
        <v>0</v>
      </c>
      <c r="I99" s="30">
        <f>I32</f>
        <v>-4860.8270000000002</v>
      </c>
      <c r="J99" s="31">
        <f t="shared" si="20"/>
        <v>0</v>
      </c>
      <c r="K99" s="22" t="e">
        <f>G99/#REF!*100</f>
        <v>#REF!</v>
      </c>
      <c r="L99" s="131">
        <f>L32</f>
        <v>237.5</v>
      </c>
      <c r="M99" s="24"/>
    </row>
    <row r="100" spans="1:15" s="133" customFormat="1" ht="27" customHeight="1" x14ac:dyDescent="0.3">
      <c r="A100" s="135" t="s">
        <v>92</v>
      </c>
      <c r="B100" s="136">
        <f t="shared" ref="B100:G100" si="24">B101+B102+B103+B105+B104</f>
        <v>0</v>
      </c>
      <c r="C100" s="136">
        <f t="shared" si="24"/>
        <v>439604.15499999991</v>
      </c>
      <c r="D100" s="136">
        <f t="shared" si="24"/>
        <v>167297.429</v>
      </c>
      <c r="E100" s="136">
        <f t="shared" si="24"/>
        <v>107675.715</v>
      </c>
      <c r="F100" s="136">
        <f t="shared" si="24"/>
        <v>99076.330459378893</v>
      </c>
      <c r="G100" s="136">
        <f t="shared" si="24"/>
        <v>94087.6</v>
      </c>
      <c r="H100" s="136" t="e">
        <f>H101+H102+H103+H105</f>
        <v>#REF!</v>
      </c>
      <c r="I100" s="136">
        <f>I101+I102+I103+I105+I104</f>
        <v>-345516.55499999993</v>
      </c>
      <c r="J100" s="137">
        <f t="shared" si="20"/>
        <v>21.402800435314361</v>
      </c>
      <c r="K100" s="22" t="e">
        <f>G100/#REF!*100</f>
        <v>#REF!</v>
      </c>
      <c r="L100" s="138" t="e">
        <f>L101+L102+L103</f>
        <v>#REF!</v>
      </c>
      <c r="M100" s="24"/>
    </row>
    <row r="101" spans="1:15" s="133" customFormat="1" ht="23.25" customHeight="1" x14ac:dyDescent="0.3">
      <c r="A101" s="37" t="s">
        <v>19</v>
      </c>
      <c r="B101" s="13"/>
      <c r="C101" s="30">
        <f>C25+C11</f>
        <v>6406.8780000000006</v>
      </c>
      <c r="D101" s="30">
        <f>D68+D25+D11</f>
        <v>0</v>
      </c>
      <c r="E101" s="30">
        <f>E68+E25+E11</f>
        <v>9125.7010000000009</v>
      </c>
      <c r="F101" s="30">
        <f>F68+F25+F11</f>
        <v>0</v>
      </c>
      <c r="G101" s="30">
        <f>G68+G25+G11</f>
        <v>0</v>
      </c>
      <c r="H101" s="30">
        <f>H68+H25+H11</f>
        <v>0</v>
      </c>
      <c r="I101" s="30">
        <f>G101-C101</f>
        <v>-6406.8780000000006</v>
      </c>
      <c r="J101" s="31">
        <f t="shared" si="20"/>
        <v>0</v>
      </c>
      <c r="K101" s="22" t="e">
        <f>G101/#REF!*100</f>
        <v>#REF!</v>
      </c>
      <c r="L101" s="139" t="e">
        <f>L11+L46+L25+#REF!+L76</f>
        <v>#REF!</v>
      </c>
      <c r="M101" s="24"/>
    </row>
    <row r="102" spans="1:15" s="133" customFormat="1" ht="23.25" customHeight="1" x14ac:dyDescent="0.3">
      <c r="A102" s="37" t="s">
        <v>93</v>
      </c>
      <c r="B102" s="13"/>
      <c r="C102" s="30">
        <f>C55+C56+C57+C58+C59+C60+C26+C12</f>
        <v>231195.766</v>
      </c>
      <c r="D102" s="30">
        <f>D55+D56+D57+D58+D59+D60+D26+D12</f>
        <v>166297.429</v>
      </c>
      <c r="E102" s="30">
        <f>E55+E56+E57+E58+E59+E60+E26+E12</f>
        <v>98550.013999999996</v>
      </c>
      <c r="F102" s="30">
        <f>F55+F56+F57+F58+F59+F60+F26+F12</f>
        <v>99075.646242400777</v>
      </c>
      <c r="G102" s="30">
        <f>G55+G56+G57+G58+G59+G60+G26+G12</f>
        <v>10000</v>
      </c>
      <c r="H102" s="30" t="e">
        <f>H12+H26+H54+H55+H56+H57+#REF!+#REF!+H77+H58+H59+H61</f>
        <v>#REF!</v>
      </c>
      <c r="I102" s="30">
        <f>G102-C102</f>
        <v>-221195.766</v>
      </c>
      <c r="J102" s="31">
        <f t="shared" si="20"/>
        <v>4.3253387261425882</v>
      </c>
      <c r="K102" s="22" t="e">
        <f>G102/#REF!*100</f>
        <v>#REF!</v>
      </c>
      <c r="L102" s="139" t="e">
        <f>L12+L26+L47+L54+L55+L56+L57+#REF!+#REF!+L77</f>
        <v>#REF!</v>
      </c>
      <c r="M102" s="24"/>
    </row>
    <row r="103" spans="1:15" s="133" customFormat="1" ht="23.25" customHeight="1" x14ac:dyDescent="0.3">
      <c r="A103" s="140" t="s">
        <v>94</v>
      </c>
      <c r="B103" s="13"/>
      <c r="C103" s="30">
        <f>C80</f>
        <v>146152.46799999999</v>
      </c>
      <c r="D103" s="30">
        <f>D80</f>
        <v>1000</v>
      </c>
      <c r="E103" s="117"/>
      <c r="F103" s="30">
        <f t="shared" si="23"/>
        <v>0.68421697812177895</v>
      </c>
      <c r="G103" s="30">
        <f>G80</f>
        <v>84087.6</v>
      </c>
      <c r="H103" s="30">
        <f>H80</f>
        <v>0</v>
      </c>
      <c r="I103" s="30">
        <f>G103-C103</f>
        <v>-62064.867999999988</v>
      </c>
      <c r="J103" s="31">
        <f t="shared" si="20"/>
        <v>57.534163569512906</v>
      </c>
      <c r="K103" s="22" t="e">
        <f>G103/#REF!*100</f>
        <v>#REF!</v>
      </c>
      <c r="L103" s="131">
        <f>L80</f>
        <v>44000</v>
      </c>
      <c r="M103" s="24"/>
    </row>
    <row r="104" spans="1:15" s="133" customFormat="1" ht="24" customHeight="1" x14ac:dyDescent="0.3">
      <c r="A104" s="141" t="s">
        <v>95</v>
      </c>
      <c r="B104" s="13"/>
      <c r="C104" s="30">
        <f>C61+C51</f>
        <v>1875.644</v>
      </c>
      <c r="D104" s="142"/>
      <c r="E104" s="117"/>
      <c r="F104" s="142"/>
      <c r="G104" s="30"/>
      <c r="H104" s="30"/>
      <c r="I104" s="30">
        <f>G104-C104</f>
        <v>-1875.644</v>
      </c>
      <c r="J104" s="31"/>
      <c r="K104" s="22"/>
      <c r="L104" s="143"/>
      <c r="M104" s="24"/>
    </row>
    <row r="105" spans="1:15" s="133" customFormat="1" ht="21" customHeight="1" x14ac:dyDescent="0.3">
      <c r="A105" s="140" t="s">
        <v>96</v>
      </c>
      <c r="B105" s="13"/>
      <c r="C105" s="87">
        <f>C39</f>
        <v>53973.398999999998</v>
      </c>
      <c r="D105" s="117"/>
      <c r="E105" s="117"/>
      <c r="F105" s="117"/>
      <c r="G105" s="91"/>
      <c r="H105" s="91"/>
      <c r="I105" s="30">
        <f>G105-C105</f>
        <v>-53973.398999999998</v>
      </c>
      <c r="J105" s="31">
        <f t="shared" si="20"/>
        <v>0</v>
      </c>
      <c r="K105" s="144"/>
      <c r="M105" s="24"/>
    </row>
    <row r="106" spans="1:15" s="133" customFormat="1" ht="63" customHeight="1" x14ac:dyDescent="0.3">
      <c r="A106" s="145"/>
      <c r="B106" s="145"/>
      <c r="C106" s="145"/>
      <c r="D106" s="145"/>
      <c r="G106" s="10"/>
      <c r="H106" s="10"/>
      <c r="I106" s="10"/>
      <c r="J106" s="10"/>
      <c r="K106" s="10"/>
      <c r="L106" s="10"/>
      <c r="M106" s="24"/>
      <c r="N106" s="10"/>
      <c r="O106" s="10"/>
    </row>
    <row r="107" spans="1:15" ht="81.75" customHeight="1" x14ac:dyDescent="0.25">
      <c r="A107" s="145"/>
      <c r="B107" s="145"/>
      <c r="C107" s="145"/>
      <c r="D107" s="145"/>
    </row>
    <row r="108" spans="1:15" ht="50.25" customHeight="1" x14ac:dyDescent="0.25">
      <c r="A108" s="145"/>
      <c r="B108" s="145"/>
      <c r="C108" s="145"/>
      <c r="D108" s="145"/>
    </row>
  </sheetData>
  <mergeCells count="3">
    <mergeCell ref="A1:M1"/>
    <mergeCell ref="A4:D4"/>
    <mergeCell ref="G55:G60"/>
  </mergeCells>
  <pageMargins left="0.47244094488188981" right="0.51181102362204722" top="0.27559055118110237" bottom="0.31496062992125984" header="0.31496062992125984" footer="0.31496062992125984"/>
  <pageSetup paperSize="9" scale="61" orientation="portrait" r:id="rId1"/>
  <rowBreaks count="1" manualBreakCount="1">
    <brk id="48" max="13" man="1"/>
  </rowBreaks>
  <colBreaks count="1" manualBreakCount="1">
    <brk id="10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Проєкт на 2024 скорочено</vt:lpstr>
      <vt:lpstr>'Проєкт на 2024 скорочено'!Область_печати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2023-10-17T09:04:57Z</dcterms:created>
  <dcterms:modified xsi:type="dcterms:W3CDTF">2023-10-17T09:07:29Z</dcterms:modified>
</cp:coreProperties>
</file>